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sbank-my.sharepoint.com/personal/itumeleng_ledwaba_resbank_co_za/Documents/Desktop/"/>
    </mc:Choice>
  </mc:AlternateContent>
  <xr:revisionPtr revIDLastSave="0" documentId="8_{E01F3306-D602-457E-9DBC-34EFFB5D0597}" xr6:coauthVersionLast="47" xr6:coauthVersionMax="47" xr10:uidLastSave="{00000000-0000-0000-0000-000000000000}"/>
  <bookViews>
    <workbookView xWindow="28680" yWindow="-120" windowWidth="29040" windowHeight="15720" xr2:uid="{6D41C7AB-CF78-48E6-8452-816C4A213045}"/>
  </bookViews>
  <sheets>
    <sheet name="BA 400" sheetId="4" r:id="rId1"/>
    <sheet name="Calculations" sheetId="5" state="hidden" r:id="rId2"/>
  </sheets>
  <definedNames>
    <definedName name="_xlnm.Print_Area" localSheetId="0">'BA 400'!$A:$M</definedName>
    <definedName name="_xlnm.Print_Titles" localSheetId="0">'BA 400'!$6:$7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4" l="1"/>
  <c r="D52" i="4" l="1"/>
  <c r="B52" i="4"/>
  <c r="D47" i="4" l="1"/>
  <c r="D42" i="4"/>
  <c r="C13" i="4"/>
  <c r="C14" i="4" s="1"/>
  <c r="C17" i="4" s="1"/>
  <c r="D13" i="4" l="1"/>
  <c r="A75" i="4"/>
  <c r="A79" i="4"/>
  <c r="E43" i="4"/>
  <c r="F43" i="4"/>
  <c r="G43" i="4"/>
  <c r="H43" i="4"/>
  <c r="I43" i="4"/>
  <c r="J43" i="4"/>
  <c r="K43" i="4"/>
  <c r="M43" i="4"/>
  <c r="D43" i="4"/>
  <c r="D48" i="4" l="1"/>
  <c r="M60" i="4"/>
  <c r="M59" i="4"/>
  <c r="M57" i="4"/>
  <c r="M56" i="4"/>
  <c r="M55" i="4"/>
  <c r="B48" i="4"/>
  <c r="B53" i="4"/>
  <c r="D45" i="4"/>
  <c r="M42" i="4"/>
  <c r="E42" i="4"/>
  <c r="K22" i="4" l="1"/>
  <c r="M22" i="4"/>
  <c r="I45" i="4"/>
  <c r="I42" i="4" l="1"/>
  <c r="B47" i="4"/>
  <c r="M45" i="4"/>
  <c r="L45" i="4"/>
  <c r="K45" i="4"/>
  <c r="J45" i="4"/>
  <c r="H45" i="4"/>
  <c r="G45" i="4"/>
  <c r="F45" i="4"/>
  <c r="E45" i="4"/>
  <c r="B45" i="4"/>
  <c r="M50" i="4"/>
  <c r="L50" i="4"/>
  <c r="K50" i="4"/>
  <c r="J50" i="4"/>
  <c r="I50" i="4"/>
  <c r="H50" i="4"/>
  <c r="G50" i="4"/>
  <c r="F50" i="4"/>
  <c r="E50" i="4"/>
  <c r="L42" i="4"/>
  <c r="K42" i="4"/>
  <c r="J42" i="4"/>
  <c r="H42" i="4"/>
  <c r="G42" i="4"/>
  <c r="F42" i="4"/>
  <c r="B42" i="4"/>
  <c r="M65" i="4" a="1"/>
  <c r="M65" i="4" s="1"/>
  <c r="M66" i="4" a="1"/>
  <c r="M66" i="4" s="1"/>
  <c r="K19" i="4"/>
  <c r="D50" i="4" l="1"/>
  <c r="D53" i="4" s="1"/>
  <c r="M58" i="4"/>
  <c r="L22" i="4"/>
  <c r="K27" i="4"/>
  <c r="D10" i="5"/>
  <c r="E10" i="5"/>
  <c r="E9" i="5"/>
  <c r="C18" i="4"/>
  <c r="M61" i="4" l="1"/>
  <c r="M72" i="4" s="1"/>
  <c r="L19" i="4"/>
  <c r="M19" i="4"/>
  <c r="B19" i="4"/>
  <c r="M27" i="4" l="1"/>
  <c r="L27" i="4"/>
  <c r="M64" i="4" s="1" a="1"/>
  <c r="M64" i="4" s="1"/>
  <c r="M67" i="4" s="1"/>
  <c r="M71" i="4" s="1"/>
  <c r="E7" i="4"/>
  <c r="F7" i="4" s="1"/>
  <c r="G7" i="4" s="1"/>
  <c r="H7" i="4" s="1"/>
  <c r="I7" i="4" s="1"/>
  <c r="J7" i="4" s="1"/>
  <c r="K7" i="4" s="1"/>
  <c r="L7" i="4" s="1"/>
  <c r="M7" i="4" s="1"/>
  <c r="M69" i="4" l="1"/>
  <c r="M68" i="4"/>
  <c r="D14" i="4" s="1"/>
  <c r="M81" i="4" s="1"/>
  <c r="C19" i="4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M73" i="4" l="1"/>
  <c r="M80" i="4"/>
  <c r="M82" i="4" s="1"/>
  <c r="M83" i="4"/>
  <c r="C35" i="4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C55" i="4" s="1"/>
  <c r="C56" i="4" s="1"/>
  <c r="C57" i="4" s="1"/>
  <c r="C58" i="4" s="1"/>
  <c r="C59" i="4" s="1"/>
  <c r="C60" i="4" s="1"/>
  <c r="C61" i="4" s="1"/>
  <c r="C64" i="4" s="1"/>
  <c r="C65" i="4" s="1"/>
  <c r="C66" i="4" s="1"/>
  <c r="C67" i="4" s="1"/>
  <c r="C68" i="4" s="1"/>
  <c r="C69" i="4" s="1"/>
  <c r="C70" i="4" s="1"/>
  <c r="C71" i="4" s="1"/>
  <c r="C72" i="4" s="1"/>
  <c r="C73" i="4" s="1"/>
  <c r="C76" i="4" s="1"/>
  <c r="C77" i="4" s="1"/>
  <c r="C80" i="4" s="1"/>
  <c r="C81" i="4" s="1"/>
  <c r="C82" i="4" s="1"/>
  <c r="C83" i="4" s="1"/>
  <c r="C84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<sst xmlns="http://schemas.openxmlformats.org/spreadsheetml/2006/main" count="84" uniqueCount="71">
  <si>
    <t>Operational Risk: Regulatory Capital BA Return</t>
  </si>
  <si>
    <t>Year-3</t>
  </si>
  <si>
    <t>Year-2</t>
  </si>
  <si>
    <t>Year-1</t>
  </si>
  <si>
    <t>Total assets</t>
  </si>
  <si>
    <t>of which: interest-earning assets (including lease assets)</t>
  </si>
  <si>
    <t>Gross income</t>
  </si>
  <si>
    <t>Interest income of which:</t>
  </si>
  <si>
    <t>Income from financial and operational lease</t>
  </si>
  <si>
    <t>Interest expenses of which:</t>
  </si>
  <si>
    <t>Expenses from financial and operational lease</t>
  </si>
  <si>
    <t>Absolute value of net interest income (including financial and operational lease)</t>
  </si>
  <si>
    <t>Dividend income</t>
  </si>
  <si>
    <t>Fee and commission income</t>
  </si>
  <si>
    <t>Fee and commission expenses</t>
  </si>
  <si>
    <t>Net profit (loss) on financial operations (trading book)</t>
  </si>
  <si>
    <t>Net profit (loss) on financial operations (non-trading book)</t>
  </si>
  <si>
    <t>Other operating income</t>
  </si>
  <si>
    <t>Net adjustments to gross income</t>
  </si>
  <si>
    <t>Other operating expenses</t>
  </si>
  <si>
    <t>Interest, leases and dividend component (ILDC)</t>
  </si>
  <si>
    <t>Services  component (SC)</t>
  </si>
  <si>
    <t>Financial  Component (FC)</t>
  </si>
  <si>
    <t>Business Indicator (BI)</t>
  </si>
  <si>
    <t>Bucket</t>
  </si>
  <si>
    <t>BI Component (BIC)</t>
  </si>
  <si>
    <t>BI gross of excluded divested activities  (per supervisory approval)</t>
  </si>
  <si>
    <t>Reduction in BI due to excluded divested activities</t>
  </si>
  <si>
    <t>Loss Component (LC)</t>
  </si>
  <si>
    <t>Internal Loss Multiplier (ILM)</t>
  </si>
  <si>
    <t>Operational Risk Capital</t>
  </si>
  <si>
    <t>Operational Risk Weighted Assets</t>
  </si>
  <si>
    <t>Row no</t>
  </si>
  <si>
    <t>BI marginal coefficients</t>
  </si>
  <si>
    <t>BI range (R billion)</t>
  </si>
  <si>
    <t>BI ranges and marginal coefficients</t>
  </si>
  <si>
    <t>B) Balance sheet and other items</t>
  </si>
  <si>
    <t>C) Income statement</t>
  </si>
  <si>
    <t>Are losses used to calculate the ILM (0 = No; 1 = Yes)</t>
  </si>
  <si>
    <t>Hashtotal</t>
  </si>
  <si>
    <t>≤ 5</t>
  </si>
  <si>
    <t>5&lt; BI ≤ 150</t>
  </si>
  <si>
    <t>&gt;150</t>
  </si>
  <si>
    <t>is the BIC at the top of bucket 1 (or bottom of bucket 2) -&gt; 0.12 * 5 billion</t>
  </si>
  <si>
    <t>is the BIC at the top of bucket 2 (or bottom of bucket 3) -&gt; 0.12 * 5 billion + 0.15 * (150 billion - 5 billion)</t>
  </si>
  <si>
    <t>D) Operational risk losses whole bank (according to relevant financial year-end)</t>
  </si>
  <si>
    <t>Year-10</t>
  </si>
  <si>
    <t>Year-9</t>
  </si>
  <si>
    <t>Year-8</t>
  </si>
  <si>
    <t>Year-7</t>
  </si>
  <si>
    <t>Year-6</t>
  </si>
  <si>
    <t>Year-5</t>
  </si>
  <si>
    <t>Year-4</t>
  </si>
  <si>
    <t>Total amount of gross losses</t>
  </si>
  <si>
    <t>Total amount of loss recoveries</t>
  </si>
  <si>
    <t xml:space="preserve">   of which: insurance recoveries</t>
  </si>
  <si>
    <t>Total amount of net losses</t>
  </si>
  <si>
    <t>Number of loss events contributing to total gross losses</t>
  </si>
  <si>
    <t>Number of loss events in the ten year window</t>
  </si>
  <si>
    <t>Total amount of net losses qualifying for exclusion (per supervisory approval)</t>
  </si>
  <si>
    <t>Total net losses after exclusion of qualifying losses</t>
  </si>
  <si>
    <t>Number of loss events qualifying for exclusion in the ten year window  (per supervisory approval)</t>
  </si>
  <si>
    <t>E) Standardised approach component calculations</t>
  </si>
  <si>
    <t>Loss events netting ≥ ZAR 50K</t>
  </si>
  <si>
    <t>BA Return level</t>
  </si>
  <si>
    <t>Internal Loss Multiplier (ILM) Floor</t>
  </si>
  <si>
    <t>A) ILM  Usage and applicable floors</t>
  </si>
  <si>
    <t>Operational Risk Weighted Assets including add on</t>
  </si>
  <si>
    <t>Capital  add on as a percentage of Gross Income</t>
  </si>
  <si>
    <t>Operational Risk Capital including add on</t>
  </si>
  <si>
    <t>Bank Solo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</si>
</sst>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 * #,##0.00_ ;_ * \-#,##0.00_ ;_ * &quot;-&quot;??_ ;_ @_ "/>
    <numFmt numFmtId="164" formatCode="#,##0.000_ ;[Red]\-#,##0.000\ "/>
    <numFmt numFmtId="165" formatCode="#,##0.000000;[Red]\-#,##0.000000"/>
    <numFmt numFmtId="166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3" fontId="5" fillId="3" borderId="5" applyFont="0">
      <alignment horizontal="right" vertical="center"/>
      <protection locked="0"/>
    </xf>
    <xf numFmtId="3" fontId="5" fillId="2" borderId="4" applyFont="0">
      <alignment horizontal="right" vertical="center"/>
    </xf>
    <xf numFmtId="3" fontId="5" fillId="6" borderId="5" applyFont="0">
      <alignment horizontal="right" vertical="center"/>
      <protection locked="0"/>
    </xf>
    <xf numFmtId="0" fontId="5" fillId="7" borderId="4" applyNumberFormat="0" applyFont="0" applyBorder="0">
      <alignment horizontal="center" vertical="center"/>
    </xf>
    <xf numFmtId="0" fontId="13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2">
    <xf numFmtId="0" fontId="0" fillId="0" borderId="0" xfId="0"/>
    <xf numFmtId="38" fontId="1" fillId="2" borderId="0" xfId="0" applyNumberFormat="1" applyFont="1" applyFill="1"/>
    <xf numFmtId="38" fontId="1" fillId="2" borderId="1" xfId="0" applyNumberFormat="1" applyFont="1" applyFill="1" applyBorder="1" applyAlignment="1">
      <alignment horizontal="centerContinuous"/>
    </xf>
    <xf numFmtId="38" fontId="1" fillId="2" borderId="2" xfId="0" applyNumberFormat="1" applyFont="1" applyFill="1" applyBorder="1" applyAlignment="1">
      <alignment horizontal="centerContinuous"/>
    </xf>
    <xf numFmtId="38" fontId="1" fillId="2" borderId="3" xfId="0" applyNumberFormat="1" applyFont="1" applyFill="1" applyBorder="1" applyAlignment="1">
      <alignment horizontal="centerContinuous"/>
    </xf>
    <xf numFmtId="38" fontId="2" fillId="2" borderId="0" xfId="0" applyNumberFormat="1" applyFont="1" applyFill="1" applyAlignment="1">
      <alignment vertical="center"/>
    </xf>
    <xf numFmtId="38" fontId="0" fillId="2" borderId="0" xfId="0" applyNumberFormat="1" applyFill="1"/>
    <xf numFmtId="38" fontId="7" fillId="2" borderId="0" xfId="0" applyNumberFormat="1" applyFont="1" applyFill="1" applyAlignment="1">
      <alignment horizontal="center" wrapText="1"/>
    </xf>
    <xf numFmtId="38" fontId="0" fillId="2" borderId="0" xfId="0" applyNumberFormat="1" applyFill="1" applyAlignment="1">
      <alignment horizontal="center"/>
    </xf>
    <xf numFmtId="38" fontId="7" fillId="4" borderId="4" xfId="1" applyNumberFormat="1" applyFont="1" applyFill="1" applyBorder="1" applyProtection="1">
      <alignment horizontal="right" vertical="center"/>
    </xf>
    <xf numFmtId="38" fontId="8" fillId="2" borderId="1" xfId="0" applyNumberFormat="1" applyFont="1" applyFill="1" applyBorder="1" applyAlignment="1">
      <alignment horizontal="left" vertical="center"/>
    </xf>
    <xf numFmtId="38" fontId="2" fillId="2" borderId="1" xfId="0" applyNumberFormat="1" applyFont="1" applyFill="1" applyBorder="1" applyAlignment="1">
      <alignment vertical="center"/>
    </xf>
    <xf numFmtId="38" fontId="2" fillId="2" borderId="3" xfId="0" applyNumberFormat="1" applyFont="1" applyFill="1" applyBorder="1" applyAlignment="1">
      <alignment horizontal="left" vertical="center"/>
    </xf>
    <xf numFmtId="38" fontId="3" fillId="2" borderId="4" xfId="0" applyNumberFormat="1" applyFont="1" applyFill="1" applyBorder="1" applyAlignment="1">
      <alignment horizontal="center"/>
    </xf>
    <xf numFmtId="38" fontId="4" fillId="2" borderId="3" xfId="0" applyNumberFormat="1" applyFont="1" applyFill="1" applyBorder="1" applyAlignment="1">
      <alignment horizontal="left" vertical="center" indent="1"/>
    </xf>
    <xf numFmtId="38" fontId="2" fillId="2" borderId="12" xfId="0" applyNumberFormat="1" applyFont="1" applyFill="1" applyBorder="1" applyAlignment="1">
      <alignment vertical="center"/>
    </xf>
    <xf numFmtId="38" fontId="2" fillId="2" borderId="13" xfId="0" applyNumberFormat="1" applyFont="1" applyFill="1" applyBorder="1" applyAlignment="1">
      <alignment vertical="center"/>
    </xf>
    <xf numFmtId="38" fontId="8" fillId="2" borderId="12" xfId="0" applyNumberFormat="1" applyFont="1" applyFill="1" applyBorder="1" applyAlignment="1">
      <alignment horizontal="left" vertical="center"/>
    </xf>
    <xf numFmtId="38" fontId="2" fillId="2" borderId="0" xfId="0" applyNumberFormat="1" applyFont="1" applyFill="1" applyAlignment="1">
      <alignment horizontal="left" vertical="center"/>
    </xf>
    <xf numFmtId="38" fontId="6" fillId="2" borderId="1" xfId="0" applyNumberFormat="1" applyFont="1" applyFill="1" applyBorder="1" applyAlignment="1">
      <alignment vertical="center"/>
    </xf>
    <xf numFmtId="38" fontId="10" fillId="2" borderId="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horizontal="left" vertical="center"/>
    </xf>
    <xf numFmtId="38" fontId="4" fillId="2" borderId="1" xfId="0" applyNumberFormat="1" applyFont="1" applyFill="1" applyBorder="1" applyAlignment="1">
      <alignment vertical="center"/>
    </xf>
    <xf numFmtId="38" fontId="8" fillId="2" borderId="9" xfId="0" applyNumberFormat="1" applyFont="1" applyFill="1" applyBorder="1" applyAlignment="1">
      <alignment horizontal="left" vertical="center"/>
    </xf>
    <xf numFmtId="38" fontId="2" fillId="2" borderId="10" xfId="0" applyNumberFormat="1" applyFont="1" applyFill="1" applyBorder="1" applyAlignment="1">
      <alignment horizontal="left" vertical="center"/>
    </xf>
    <xf numFmtId="38" fontId="0" fillId="2" borderId="10" xfId="0" applyNumberFormat="1" applyFill="1" applyBorder="1" applyAlignment="1">
      <alignment horizontal="center"/>
    </xf>
    <xf numFmtId="38" fontId="2" fillId="2" borderId="10" xfId="0" applyNumberFormat="1" applyFont="1" applyFill="1" applyBorder="1" applyAlignment="1">
      <alignment vertical="center"/>
    </xf>
    <xf numFmtId="38" fontId="2" fillId="2" borderId="10" xfId="0" quotePrefix="1" applyNumberFormat="1" applyFont="1" applyFill="1" applyBorder="1" applyAlignment="1">
      <alignment vertical="center"/>
    </xf>
    <xf numFmtId="38" fontId="2" fillId="2" borderId="11" xfId="0" applyNumberFormat="1" applyFont="1" applyFill="1" applyBorder="1" applyAlignment="1">
      <alignment vertical="center"/>
    </xf>
    <xf numFmtId="38" fontId="2" fillId="2" borderId="3" xfId="0" applyNumberFormat="1" applyFont="1" applyFill="1" applyBorder="1" applyAlignment="1">
      <alignment vertical="center"/>
    </xf>
    <xf numFmtId="38" fontId="4" fillId="2" borderId="3" xfId="0" applyNumberFormat="1" applyFont="1" applyFill="1" applyBorder="1" applyAlignment="1">
      <alignment vertical="center"/>
    </xf>
    <xf numFmtId="38" fontId="2" fillId="5" borderId="4" xfId="1" applyNumberFormat="1" applyFont="1" applyFill="1" applyBorder="1">
      <alignment horizontal="right" vertical="center"/>
      <protection locked="0"/>
    </xf>
    <xf numFmtId="38" fontId="1" fillId="2" borderId="0" xfId="0" applyNumberFormat="1" applyFont="1" applyFill="1" applyAlignment="1">
      <alignment horizontal="centerContinuous"/>
    </xf>
    <xf numFmtId="38" fontId="8" fillId="2" borderId="4" xfId="0" applyNumberFormat="1" applyFont="1" applyFill="1" applyBorder="1" applyAlignment="1">
      <alignment horizontal="left" vertical="center"/>
    </xf>
    <xf numFmtId="38" fontId="2" fillId="8" borderId="0" xfId="0" applyNumberFormat="1" applyFont="1" applyFill="1" applyAlignment="1">
      <alignment vertical="center"/>
    </xf>
    <xf numFmtId="38" fontId="3" fillId="2" borderId="0" xfId="0" applyNumberFormat="1" applyFont="1" applyFill="1" applyAlignment="1">
      <alignment horizontal="center"/>
    </xf>
    <xf numFmtId="38" fontId="3" fillId="2" borderId="1" xfId="0" applyNumberFormat="1" applyFont="1" applyFill="1" applyBorder="1" applyAlignment="1">
      <alignment horizontal="center"/>
    </xf>
    <xf numFmtId="38" fontId="11" fillId="2" borderId="2" xfId="0" applyNumberFormat="1" applyFont="1" applyFill="1" applyBorder="1" applyAlignment="1">
      <alignment horizontal="left" vertical="center" indent="1"/>
    </xf>
    <xf numFmtId="0" fontId="12" fillId="0" borderId="4" xfId="0" applyFont="1" applyBorder="1" applyAlignment="1">
      <alignment vertical="center"/>
    </xf>
    <xf numFmtId="38" fontId="2" fillId="9" borderId="0" xfId="0" applyNumberFormat="1" applyFont="1" applyFill="1" applyAlignment="1">
      <alignment vertical="center"/>
    </xf>
    <xf numFmtId="38" fontId="2" fillId="2" borderId="0" xfId="1" applyNumberFormat="1" applyFont="1" applyFill="1" applyBorder="1" applyProtection="1">
      <alignment horizontal="right" vertical="center"/>
    </xf>
    <xf numFmtId="38" fontId="2" fillId="2" borderId="0" xfId="1" applyNumberFormat="1" applyFont="1" applyFill="1" applyBorder="1">
      <alignment horizontal="right" vertical="center"/>
      <protection locked="0"/>
    </xf>
    <xf numFmtId="0" fontId="15" fillId="0" borderId="0" xfId="0" applyFont="1"/>
    <xf numFmtId="166" fontId="15" fillId="0" borderId="15" xfId="6" applyNumberFormat="1" applyFont="1" applyFill="1" applyBorder="1" applyAlignment="1">
      <alignment vertical="center" wrapText="1"/>
    </xf>
    <xf numFmtId="166" fontId="15" fillId="0" borderId="0" xfId="6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166" fontId="15" fillId="0" borderId="16" xfId="6" applyNumberFormat="1" applyFont="1" applyFill="1" applyBorder="1" applyAlignment="1">
      <alignment vertical="center" wrapText="1"/>
    </xf>
    <xf numFmtId="9" fontId="15" fillId="0" borderId="17" xfId="0" applyNumberFormat="1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38" fontId="2" fillId="5" borderId="4" xfId="1" applyNumberFormat="1" applyFont="1" applyFill="1" applyBorder="1" applyProtection="1">
      <alignment horizontal="right" vertical="center"/>
    </xf>
    <xf numFmtId="38" fontId="9" fillId="2" borderId="0" xfId="0" applyNumberFormat="1" applyFont="1" applyFill="1" applyAlignment="1">
      <alignment horizontal="left" vertical="center"/>
    </xf>
    <xf numFmtId="38" fontId="2" fillId="10" borderId="3" xfId="0" applyNumberFormat="1" applyFont="1" applyFill="1" applyBorder="1" applyAlignment="1">
      <alignment vertical="center"/>
    </xf>
    <xf numFmtId="38" fontId="0" fillId="4" borderId="0" xfId="0" applyNumberFormat="1" applyFill="1"/>
    <xf numFmtId="38" fontId="0" fillId="4" borderId="6" xfId="0" applyNumberFormat="1" applyFill="1" applyBorder="1"/>
    <xf numFmtId="38" fontId="0" fillId="4" borderId="7" xfId="0" applyNumberFormat="1" applyFill="1" applyBorder="1"/>
    <xf numFmtId="38" fontId="0" fillId="4" borderId="8" xfId="0" applyNumberFormat="1" applyFill="1" applyBorder="1"/>
    <xf numFmtId="38" fontId="0" fillId="4" borderId="12" xfId="0" applyNumberFormat="1" applyFill="1" applyBorder="1"/>
    <xf numFmtId="38" fontId="0" fillId="4" borderId="13" xfId="0" applyNumberFormat="1" applyFill="1" applyBorder="1"/>
    <xf numFmtId="38" fontId="0" fillId="4" borderId="9" xfId="0" applyNumberFormat="1" applyFill="1" applyBorder="1"/>
    <xf numFmtId="38" fontId="0" fillId="4" borderId="10" xfId="0" applyNumberFormat="1" applyFill="1" applyBorder="1"/>
    <xf numFmtId="38" fontId="0" fillId="4" borderId="11" xfId="0" applyNumberFormat="1" applyFill="1" applyBorder="1"/>
    <xf numFmtId="38" fontId="7" fillId="4" borderId="2" xfId="0" applyNumberFormat="1" applyFont="1" applyFill="1" applyBorder="1" applyAlignment="1">
      <alignment vertical="center"/>
    </xf>
    <xf numFmtId="38" fontId="7" fillId="2" borderId="4" xfId="0" applyNumberFormat="1" applyFont="1" applyFill="1" applyBorder="1" applyAlignment="1">
      <alignment vertical="center"/>
    </xf>
    <xf numFmtId="38" fontId="2" fillId="4" borderId="6" xfId="2" applyNumberFormat="1" applyFont="1" applyFill="1" applyBorder="1" applyAlignment="1">
      <alignment vertical="center"/>
    </xf>
    <xf numFmtId="38" fontId="2" fillId="4" borderId="7" xfId="2" applyNumberFormat="1" applyFont="1" applyFill="1" applyBorder="1" applyAlignment="1">
      <alignment vertical="center"/>
    </xf>
    <xf numFmtId="38" fontId="2" fillId="4" borderId="8" xfId="2" applyNumberFormat="1" applyFont="1" applyFill="1" applyBorder="1" applyAlignment="1">
      <alignment vertical="center"/>
    </xf>
    <xf numFmtId="38" fontId="2" fillId="4" borderId="12" xfId="3" applyNumberFormat="1" applyFont="1" applyFill="1" applyBorder="1" applyAlignment="1" applyProtection="1">
      <alignment vertical="center"/>
    </xf>
    <xf numFmtId="38" fontId="2" fillId="4" borderId="0" xfId="3" applyNumberFormat="1" applyFont="1" applyFill="1" applyBorder="1" applyAlignment="1" applyProtection="1">
      <alignment vertical="center"/>
    </xf>
    <xf numFmtId="38" fontId="2" fillId="4" borderId="13" xfId="2" applyNumberFormat="1" applyFont="1" applyFill="1" applyBorder="1" applyAlignment="1">
      <alignment vertical="center"/>
    </xf>
    <xf numFmtId="164" fontId="2" fillId="4" borderId="12" xfId="3" applyNumberFormat="1" applyFont="1" applyFill="1" applyBorder="1" applyAlignment="1" applyProtection="1">
      <alignment vertical="center"/>
    </xf>
    <xf numFmtId="164" fontId="2" fillId="4" borderId="0" xfId="3" applyNumberFormat="1" applyFont="1" applyFill="1" applyBorder="1" applyAlignment="1" applyProtection="1">
      <alignment vertical="center"/>
    </xf>
    <xf numFmtId="38" fontId="2" fillId="4" borderId="13" xfId="3" applyNumberFormat="1" applyFont="1" applyFill="1" applyBorder="1" applyAlignment="1" applyProtection="1">
      <alignment vertical="center"/>
    </xf>
    <xf numFmtId="38" fontId="2" fillId="4" borderId="12" xfId="2" applyNumberFormat="1" applyFont="1" applyFill="1" applyBorder="1" applyAlignment="1">
      <alignment vertical="center"/>
    </xf>
    <xf numFmtId="38" fontId="2" fillId="4" borderId="0" xfId="2" applyNumberFormat="1" applyFont="1" applyFill="1" applyBorder="1" applyAlignment="1">
      <alignment vertical="center"/>
    </xf>
    <xf numFmtId="38" fontId="2" fillId="4" borderId="12" xfId="4" applyNumberFormat="1" applyFont="1" applyFill="1" applyBorder="1" applyAlignment="1">
      <alignment vertical="center"/>
    </xf>
    <xf numFmtId="38" fontId="2" fillId="4" borderId="0" xfId="4" applyNumberFormat="1" applyFont="1" applyFill="1" applyBorder="1" applyAlignment="1">
      <alignment vertical="center"/>
    </xf>
    <xf numFmtId="38" fontId="2" fillId="4" borderId="13" xfId="4" applyNumberFormat="1" applyFont="1" applyFill="1" applyBorder="1" applyAlignment="1">
      <alignment vertical="center"/>
    </xf>
    <xf numFmtId="38" fontId="2" fillId="4" borderId="9" xfId="4" applyNumberFormat="1" applyFont="1" applyFill="1" applyBorder="1" applyAlignment="1">
      <alignment vertical="center"/>
    </xf>
    <xf numFmtId="38" fontId="2" fillId="4" borderId="10" xfId="4" applyNumberFormat="1" applyFont="1" applyFill="1" applyBorder="1" applyAlignment="1">
      <alignment vertical="center"/>
    </xf>
    <xf numFmtId="38" fontId="2" fillId="4" borderId="11" xfId="4" applyNumberFormat="1" applyFont="1" applyFill="1" applyBorder="1" applyAlignment="1">
      <alignment vertical="center"/>
    </xf>
    <xf numFmtId="38" fontId="2" fillId="4" borderId="6" xfId="4" applyNumberFormat="1" applyFont="1" applyFill="1" applyBorder="1" applyAlignment="1">
      <alignment vertical="center"/>
    </xf>
    <xf numFmtId="38" fontId="2" fillId="4" borderId="7" xfId="4" applyNumberFormat="1" applyFont="1" applyFill="1" applyBorder="1" applyAlignment="1">
      <alignment vertical="center"/>
    </xf>
    <xf numFmtId="38" fontId="2" fillId="4" borderId="8" xfId="4" applyNumberFormat="1" applyFont="1" applyFill="1" applyBorder="1" applyAlignment="1">
      <alignment vertical="center"/>
    </xf>
    <xf numFmtId="38" fontId="2" fillId="4" borderId="9" xfId="2" applyNumberFormat="1" applyFont="1" applyFill="1" applyBorder="1" applyAlignment="1">
      <alignment vertical="center"/>
    </xf>
    <xf numFmtId="38" fontId="2" fillId="4" borderId="10" xfId="2" applyNumberFormat="1" applyFont="1" applyFill="1" applyBorder="1" applyAlignment="1">
      <alignment vertical="center"/>
    </xf>
    <xf numFmtId="38" fontId="2" fillId="4" borderId="11" xfId="2" applyNumberFormat="1" applyFont="1" applyFill="1" applyBorder="1" applyAlignment="1">
      <alignment vertical="center"/>
    </xf>
    <xf numFmtId="3" fontId="0" fillId="5" borderId="4" xfId="1" applyFont="1" applyFill="1" applyBorder="1">
      <alignment horizontal="right" vertical="center"/>
      <protection locked="0"/>
    </xf>
    <xf numFmtId="38" fontId="2" fillId="2" borderId="4" xfId="2" applyNumberFormat="1" applyFont="1">
      <alignment horizontal="right" vertical="center"/>
    </xf>
    <xf numFmtId="38" fontId="2" fillId="2" borderId="14" xfId="0" applyNumberFormat="1" applyFont="1" applyFill="1" applyBorder="1" applyAlignment="1">
      <alignment vertical="center"/>
    </xf>
    <xf numFmtId="165" fontId="7" fillId="2" borderId="3" xfId="1" applyNumberFormat="1" applyFont="1" applyFill="1" applyBorder="1" applyProtection="1">
      <alignment horizontal="right" vertical="center"/>
    </xf>
    <xf numFmtId="38" fontId="2" fillId="2" borderId="4" xfId="0" applyNumberFormat="1" applyFont="1" applyFill="1" applyBorder="1" applyAlignment="1">
      <alignment vertical="center"/>
    </xf>
    <xf numFmtId="3" fontId="16" fillId="0" borderId="4" xfId="1" applyFont="1" applyFill="1" applyBorder="1" applyAlignment="1">
      <alignment horizontal="center" vertical="center"/>
      <protection locked="0"/>
    </xf>
    <xf numFmtId="38" fontId="2" fillId="4" borderId="1" xfId="0" applyNumberFormat="1" applyFont="1" applyFill="1" applyBorder="1" applyAlignment="1">
      <alignment vertical="center"/>
    </xf>
    <xf numFmtId="38" fontId="2" fillId="4" borderId="2" xfId="0" applyNumberFormat="1" applyFont="1" applyFill="1" applyBorder="1" applyAlignment="1">
      <alignment vertical="center"/>
    </xf>
    <xf numFmtId="38" fontId="2" fillId="4" borderId="3" xfId="0" applyNumberFormat="1" applyFont="1" applyFill="1" applyBorder="1" applyAlignment="1">
      <alignment vertical="center"/>
    </xf>
    <xf numFmtId="38" fontId="4" fillId="2" borderId="0" xfId="0" applyNumberFormat="1" applyFont="1" applyFill="1" applyAlignment="1">
      <alignment horizontal="left" vertical="center"/>
    </xf>
    <xf numFmtId="38" fontId="4" fillId="2" borderId="13" xfId="0" applyNumberFormat="1" applyFont="1" applyFill="1" applyBorder="1" applyAlignment="1">
      <alignment horizontal="left" vertical="center"/>
    </xf>
    <xf numFmtId="38" fontId="10" fillId="11" borderId="2" xfId="0" applyNumberFormat="1" applyFont="1" applyFill="1" applyBorder="1" applyAlignment="1">
      <alignment vertical="center" wrapText="1"/>
    </xf>
    <xf numFmtId="38" fontId="4" fillId="2" borderId="3" xfId="0" applyNumberFormat="1" applyFont="1" applyFill="1" applyBorder="1" applyAlignment="1">
      <alignment horizontal="left" vertical="center" wrapText="1"/>
    </xf>
    <xf numFmtId="38" fontId="11" fillId="2" borderId="0" xfId="0" applyNumberFormat="1" applyFont="1" applyFill="1" applyAlignment="1">
      <alignment horizontal="left" vertical="center" indent="1"/>
    </xf>
    <xf numFmtId="0" fontId="12" fillId="2" borderId="4" xfId="0" applyFont="1" applyFill="1" applyBorder="1" applyAlignment="1">
      <alignment horizontal="center" vertical="center"/>
    </xf>
    <xf numFmtId="38" fontId="2" fillId="2" borderId="4" xfId="1" applyNumberFormat="1" applyFont="1" applyFill="1" applyBorder="1" applyProtection="1">
      <alignment horizontal="right" vertical="center"/>
    </xf>
    <xf numFmtId="0" fontId="12" fillId="0" borderId="4" xfId="0" applyFont="1" applyBorder="1" applyAlignment="1">
      <alignment horizontal="center" vertical="center"/>
    </xf>
    <xf numFmtId="38" fontId="4" fillId="5" borderId="4" xfId="0" applyNumberFormat="1" applyFont="1" applyFill="1" applyBorder="1" applyProtection="1">
      <protection locked="0"/>
    </xf>
    <xf numFmtId="38" fontId="4" fillId="4" borderId="6" xfId="0" applyNumberFormat="1" applyFont="1" applyFill="1" applyBorder="1" applyAlignment="1" applyProtection="1">
      <alignment horizontal="center"/>
      <protection locked="0"/>
    </xf>
    <xf numFmtId="38" fontId="4" fillId="4" borderId="7" xfId="0" applyNumberFormat="1" applyFont="1" applyFill="1" applyBorder="1" applyAlignment="1" applyProtection="1">
      <alignment horizontal="center"/>
      <protection locked="0"/>
    </xf>
    <xf numFmtId="38" fontId="11" fillId="2" borderId="3" xfId="0" applyNumberFormat="1" applyFont="1" applyFill="1" applyBorder="1" applyAlignment="1">
      <alignment horizontal="left" vertical="center" indent="1"/>
    </xf>
    <xf numFmtId="38" fontId="4" fillId="4" borderId="12" xfId="0" applyNumberFormat="1" applyFont="1" applyFill="1" applyBorder="1" applyAlignment="1" applyProtection="1">
      <alignment horizontal="center"/>
      <protection locked="0"/>
    </xf>
    <xf numFmtId="38" fontId="4" fillId="4" borderId="0" xfId="0" applyNumberFormat="1" applyFont="1" applyFill="1" applyAlignment="1" applyProtection="1">
      <alignment horizontal="center"/>
      <protection locked="0"/>
    </xf>
    <xf numFmtId="38" fontId="2" fillId="2" borderId="9" xfId="0" applyNumberFormat="1" applyFont="1" applyFill="1" applyBorder="1" applyAlignment="1">
      <alignment vertical="center"/>
    </xf>
    <xf numFmtId="38" fontId="4" fillId="4" borderId="9" xfId="0" applyNumberFormat="1" applyFont="1" applyFill="1" applyBorder="1" applyAlignment="1" applyProtection="1">
      <alignment horizontal="center"/>
      <protection locked="0"/>
    </xf>
    <xf numFmtId="38" fontId="4" fillId="4" borderId="10" xfId="0" applyNumberFormat="1" applyFont="1" applyFill="1" applyBorder="1" applyAlignment="1" applyProtection="1">
      <alignment horizontal="center"/>
      <protection locked="0"/>
    </xf>
    <xf numFmtId="38" fontId="4" fillId="2" borderId="3" xfId="0" applyNumberFormat="1" applyFont="1" applyFill="1" applyBorder="1" applyAlignment="1">
      <alignment vertical="center" wrapText="1"/>
    </xf>
    <xf numFmtId="38" fontId="4" fillId="2" borderId="0" xfId="0" applyNumberFormat="1" applyFont="1" applyFill="1" applyAlignment="1" applyProtection="1">
      <alignment horizontal="center"/>
      <protection locked="0"/>
    </xf>
    <xf numFmtId="38" fontId="4" fillId="2" borderId="13" xfId="0" applyNumberFormat="1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38" fontId="2" fillId="2" borderId="8" xfId="0" applyNumberFormat="1" applyFont="1" applyFill="1" applyBorder="1" applyAlignment="1">
      <alignment vertical="center"/>
    </xf>
    <xf numFmtId="38" fontId="7" fillId="4" borderId="10" xfId="0" applyNumberFormat="1" applyFont="1" applyFill="1" applyBorder="1" applyAlignment="1">
      <alignment vertical="center"/>
    </xf>
    <xf numFmtId="38" fontId="7" fillId="4" borderId="1" xfId="0" applyNumberFormat="1" applyFont="1" applyFill="1" applyBorder="1" applyAlignment="1">
      <alignment vertical="center"/>
    </xf>
    <xf numFmtId="38" fontId="7" fillId="4" borderId="3" xfId="0" applyNumberFormat="1" applyFont="1" applyFill="1" applyBorder="1" applyAlignment="1">
      <alignment vertical="center"/>
    </xf>
    <xf numFmtId="38" fontId="4" fillId="2" borderId="0" xfId="0" applyNumberFormat="1" applyFont="1" applyFill="1"/>
    <xf numFmtId="38" fontId="4" fillId="2" borderId="13" xfId="0" applyNumberFormat="1" applyFont="1" applyFill="1" applyBorder="1"/>
    <xf numFmtId="38" fontId="17" fillId="2" borderId="4" xfId="0" applyNumberFormat="1" applyFont="1" applyFill="1" applyBorder="1" applyAlignment="1">
      <alignment horizontal="center"/>
    </xf>
    <xf numFmtId="38" fontId="8" fillId="2" borderId="0" xfId="0" applyNumberFormat="1" applyFont="1" applyFill="1" applyAlignment="1">
      <alignment horizontal="left" vertical="center"/>
    </xf>
    <xf numFmtId="38" fontId="3" fillId="2" borderId="0" xfId="0" applyNumberFormat="1" applyFont="1" applyFill="1" applyAlignment="1">
      <alignment wrapText="1"/>
    </xf>
    <xf numFmtId="38" fontId="3" fillId="2" borderId="2" xfId="0" applyNumberFormat="1" applyFont="1" applyFill="1" applyBorder="1" applyAlignment="1">
      <alignment wrapText="1"/>
    </xf>
    <xf numFmtId="38" fontId="4" fillId="2" borderId="11" xfId="0" applyNumberFormat="1" applyFont="1" applyFill="1" applyBorder="1" applyAlignment="1">
      <alignment horizontal="left" vertical="center"/>
    </xf>
    <xf numFmtId="38" fontId="7" fillId="2" borderId="4" xfId="1" applyNumberFormat="1" applyFont="1" applyFill="1" applyBorder="1" applyProtection="1">
      <alignment horizontal="right" vertical="center"/>
    </xf>
    <xf numFmtId="38" fontId="17" fillId="2" borderId="14" xfId="0" applyNumberFormat="1" applyFont="1" applyFill="1" applyBorder="1" applyAlignment="1">
      <alignment horizontal="center"/>
    </xf>
    <xf numFmtId="38" fontId="7" fillId="2" borderId="0" xfId="0" applyNumberFormat="1" applyFont="1" applyFill="1" applyAlignment="1">
      <alignment vertical="center"/>
    </xf>
    <xf numFmtId="38" fontId="17" fillId="2" borderId="10" xfId="0" applyNumberFormat="1" applyFont="1" applyFill="1" applyBorder="1" applyAlignment="1">
      <alignment horizontal="center"/>
    </xf>
    <xf numFmtId="40" fontId="2" fillId="2" borderId="4" xfId="1" applyNumberFormat="1" applyFont="1" applyFill="1" applyBorder="1">
      <alignment horizontal="right" vertical="center"/>
      <protection locked="0"/>
    </xf>
    <xf numFmtId="9" fontId="2" fillId="2" borderId="4" xfId="7" applyFont="1" applyFill="1" applyBorder="1" applyAlignment="1" applyProtection="1">
      <alignment horizontal="right" vertical="center"/>
      <protection locked="0"/>
    </xf>
    <xf numFmtId="38" fontId="4" fillId="4" borderId="6" xfId="0" applyNumberFormat="1" applyFont="1" applyFill="1" applyBorder="1" applyAlignment="1" applyProtection="1">
      <alignment horizontal="center"/>
      <protection locked="0"/>
    </xf>
    <xf numFmtId="38" fontId="4" fillId="4" borderId="7" xfId="0" applyNumberFormat="1" applyFont="1" applyFill="1" applyBorder="1" applyAlignment="1" applyProtection="1">
      <alignment horizontal="center"/>
      <protection locked="0"/>
    </xf>
    <xf numFmtId="38" fontId="4" fillId="4" borderId="8" xfId="0" applyNumberFormat="1" applyFont="1" applyFill="1" applyBorder="1" applyAlignment="1" applyProtection="1">
      <alignment horizontal="center"/>
      <protection locked="0"/>
    </xf>
    <xf numFmtId="38" fontId="4" fillId="4" borderId="12" xfId="0" applyNumberFormat="1" applyFont="1" applyFill="1" applyBorder="1" applyAlignment="1" applyProtection="1">
      <alignment horizontal="center"/>
      <protection locked="0"/>
    </xf>
    <xf numFmtId="38" fontId="4" fillId="4" borderId="0" xfId="0" applyNumberFormat="1" applyFont="1" applyFill="1" applyAlignment="1" applyProtection="1">
      <alignment horizontal="center"/>
      <protection locked="0"/>
    </xf>
    <xf numFmtId="38" fontId="4" fillId="4" borderId="13" xfId="0" applyNumberFormat="1" applyFont="1" applyFill="1" applyBorder="1" applyAlignment="1" applyProtection="1">
      <alignment horizontal="center"/>
      <protection locked="0"/>
    </xf>
    <xf numFmtId="38" fontId="4" fillId="4" borderId="9" xfId="0" applyNumberFormat="1" applyFont="1" applyFill="1" applyBorder="1" applyAlignment="1" applyProtection="1">
      <alignment horizontal="center"/>
      <protection locked="0"/>
    </xf>
    <xf numFmtId="38" fontId="4" fillId="4" borderId="10" xfId="0" applyNumberFormat="1" applyFont="1" applyFill="1" applyBorder="1" applyAlignment="1" applyProtection="1">
      <alignment horizontal="center"/>
      <protection locked="0"/>
    </xf>
    <xf numFmtId="38" fontId="4" fillId="4" borderId="11" xfId="0" applyNumberFormat="1" applyFont="1" applyFill="1" applyBorder="1" applyAlignment="1" applyProtection="1">
      <alignment horizontal="center"/>
      <protection locked="0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</cellXfs>
  <cellStyles count="8">
    <cellStyle name="Comma" xfId="6" builtinId="3"/>
    <cellStyle name="greyed" xfId="4" xr:uid="{BA0EAE62-9A26-4F92-9D13-EEC371D92EED}"/>
    <cellStyle name="inputExposure" xfId="1" xr:uid="{DD27D8B9-7EAA-4A69-B5EE-5179B11CD7CC}"/>
    <cellStyle name="Normal" xfId="0" builtinId="0"/>
    <cellStyle name="Normal 3" xfId="5" xr:uid="{67F49CB7-8FC0-461C-B30B-11DC9C9080A3}"/>
    <cellStyle name="optionalExposure" xfId="3" xr:uid="{BA83409A-5984-4003-ABE9-1D6497FA5AB1}"/>
    <cellStyle name="Percent" xfId="7" builtinId="5"/>
    <cellStyle name="showExposure" xfId="2" xr:uid="{40C6DF49-41F9-41A8-B43D-031C38E34562}"/>
  </cellStyles>
  <dxfs count="105"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FF0000"/>
      </font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strike val="0"/>
        <color rgb="FF427F6D"/>
      </font>
      <fill>
        <patternFill patternType="solid">
          <bgColor theme="0"/>
        </patternFill>
      </fill>
    </dxf>
  </dxfs>
  <tableStyles count="1" defaultTableStyle="TableStyleMedium2" defaultPivotStyle="PivotStyleLight16">
    <tableStyle name="Invisible" pivot="0" table="0" count="0" xr9:uid="{E4A237B4-0FDA-4B01-9E98-762DC5EBFF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EC8-2D19-4EEB-B621-2ED7424AF24C}">
  <sheetPr>
    <tabColor rgb="FF00B050"/>
    <pageSetUpPr fitToPage="1"/>
  </sheetPr>
  <dimension ref="A2:BX84"/>
  <sheetViews>
    <sheetView showGridLines="0" tabSelected="1" topLeftCell="A50" zoomScale="70" zoomScaleNormal="70" workbookViewId="0">
      <selection activeCell="H60" sqref="H60"/>
    </sheetView>
  </sheetViews>
  <sheetFormatPr defaultColWidth="8.81640625" defaultRowHeight="14.5" x14ac:dyDescent="0.35"/>
  <cols>
    <col min="1" max="1" width="5.1796875" style="5" customWidth="1"/>
    <col min="2" max="2" width="87.1796875" style="5" bestFit="1" customWidth="1"/>
    <col min="3" max="3" width="17.1796875" style="8" customWidth="1"/>
    <col min="4" max="10" width="12.6328125" style="5" customWidth="1"/>
    <col min="11" max="11" width="13.36328125" style="5" customWidth="1"/>
    <col min="12" max="13" width="12.6328125" style="5" customWidth="1"/>
    <col min="14" max="14" width="10.90625" style="6" bestFit="1" customWidth="1"/>
    <col min="15" max="15" width="9.90625" style="6" bestFit="1" customWidth="1"/>
    <col min="16" max="16384" width="8.81640625" style="6"/>
  </cols>
  <sheetData>
    <row r="2" spans="1:13" ht="26" x14ac:dyDescent="0.6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26" x14ac:dyDescent="0.6">
      <c r="A3" s="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x14ac:dyDescent="0.35">
      <c r="A4" s="6"/>
      <c r="D4" s="41"/>
      <c r="E4" s="6"/>
      <c r="F4" s="6"/>
      <c r="G4" s="6"/>
      <c r="H4" s="6"/>
      <c r="I4" s="6"/>
      <c r="J4" s="6"/>
      <c r="K4" s="6"/>
      <c r="L4" s="6"/>
      <c r="M4" s="6"/>
    </row>
    <row r="5" spans="1:13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35">
      <c r="B6" s="7"/>
      <c r="D6" s="6"/>
      <c r="E6" s="6"/>
      <c r="F6" s="6"/>
      <c r="G6" s="6"/>
      <c r="H6" s="6"/>
      <c r="I6" s="6"/>
      <c r="J6" s="6"/>
      <c r="K6" s="9" t="s">
        <v>1</v>
      </c>
      <c r="L6" s="9" t="s">
        <v>2</v>
      </c>
      <c r="M6" s="9" t="s">
        <v>3</v>
      </c>
    </row>
    <row r="7" spans="1:13" x14ac:dyDescent="0.35">
      <c r="D7" s="64">
        <v>1</v>
      </c>
      <c r="E7" s="64">
        <f>D7+1</f>
        <v>2</v>
      </c>
      <c r="F7" s="64">
        <f t="shared" ref="F7:M7" si="0">E7+1</f>
        <v>3</v>
      </c>
      <c r="G7" s="64">
        <f t="shared" si="0"/>
        <v>4</v>
      </c>
      <c r="H7" s="64">
        <f t="shared" si="0"/>
        <v>5</v>
      </c>
      <c r="I7" s="64">
        <f t="shared" si="0"/>
        <v>6</v>
      </c>
      <c r="J7" s="64">
        <f t="shared" si="0"/>
        <v>7</v>
      </c>
      <c r="K7" s="64">
        <f t="shared" si="0"/>
        <v>8</v>
      </c>
      <c r="L7" s="64">
        <f t="shared" si="0"/>
        <v>9</v>
      </c>
      <c r="M7" s="64">
        <f t="shared" si="0"/>
        <v>10</v>
      </c>
    </row>
    <row r="8" spans="1:13" ht="15.5" x14ac:dyDescent="0.35">
      <c r="A8" s="10" t="s">
        <v>64</v>
      </c>
      <c r="B8" s="132"/>
      <c r="C8" s="134" t="s">
        <v>70</v>
      </c>
      <c r="D8" s="125"/>
      <c r="E8" s="63"/>
      <c r="F8" s="63"/>
      <c r="G8" s="63"/>
      <c r="H8" s="63"/>
      <c r="I8" s="63"/>
      <c r="J8" s="63"/>
      <c r="K8" s="63"/>
      <c r="L8" s="124"/>
      <c r="M8" s="126"/>
    </row>
    <row r="9" spans="1:13" ht="15.5" x14ac:dyDescent="0.35">
      <c r="A9" s="1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3" ht="15.5" x14ac:dyDescent="0.35">
      <c r="A10" s="17"/>
      <c r="B10" s="131"/>
      <c r="C10" s="40"/>
      <c r="D10" s="97"/>
      <c r="E10" s="97"/>
      <c r="F10" s="97"/>
      <c r="G10" s="97"/>
      <c r="H10" s="97"/>
      <c r="I10" s="97"/>
      <c r="J10" s="97"/>
      <c r="K10" s="97"/>
      <c r="L10" s="97"/>
      <c r="M10" s="98"/>
    </row>
    <row r="11" spans="1:13" ht="15.5" x14ac:dyDescent="0.35">
      <c r="A11" s="10" t="s">
        <v>66</v>
      </c>
      <c r="B11" s="64"/>
      <c r="C11" s="33" t="s">
        <v>32</v>
      </c>
      <c r="D11" s="97"/>
      <c r="E11" s="97"/>
      <c r="F11" s="97"/>
      <c r="G11" s="97"/>
      <c r="H11" s="97"/>
      <c r="I11" s="97"/>
      <c r="J11" s="97"/>
      <c r="K11" s="97"/>
      <c r="L11" s="97"/>
      <c r="M11" s="133"/>
    </row>
    <row r="12" spans="1:13" x14ac:dyDescent="0.35">
      <c r="A12" s="11"/>
      <c r="B12" s="53" t="s">
        <v>38</v>
      </c>
      <c r="C12" s="13">
        <v>1</v>
      </c>
      <c r="D12" s="31">
        <v>0</v>
      </c>
      <c r="E12" s="125"/>
      <c r="F12" s="63"/>
      <c r="G12" s="63"/>
      <c r="H12" s="63"/>
      <c r="I12" s="63"/>
      <c r="J12" s="63"/>
      <c r="K12" s="63"/>
      <c r="L12" s="63"/>
      <c r="M12" s="126"/>
    </row>
    <row r="13" spans="1:13" x14ac:dyDescent="0.35">
      <c r="A13" s="11"/>
      <c r="B13" s="53" t="s">
        <v>65</v>
      </c>
      <c r="C13" s="13">
        <f>C12+1</f>
        <v>2</v>
      </c>
      <c r="D13" s="138">
        <f>0.95</f>
        <v>0.95</v>
      </c>
      <c r="E13" s="63"/>
      <c r="F13" s="63"/>
      <c r="G13" s="63"/>
      <c r="H13" s="63"/>
      <c r="I13" s="63"/>
      <c r="J13" s="63"/>
      <c r="K13" s="63"/>
      <c r="L13" s="63"/>
      <c r="M13" s="126"/>
    </row>
    <row r="14" spans="1:13" x14ac:dyDescent="0.35">
      <c r="A14" s="11"/>
      <c r="B14" s="53" t="s">
        <v>68</v>
      </c>
      <c r="C14" s="13">
        <f>C13+1</f>
        <v>3</v>
      </c>
      <c r="D14" s="139" t="str">
        <f>IF(ISNUMBER($M$68),IF($M$68&lt;2,0.15,0.12),"")</f>
        <v/>
      </c>
      <c r="E14" s="63"/>
      <c r="F14" s="63"/>
      <c r="G14" s="63"/>
      <c r="H14" s="63"/>
      <c r="I14" s="63"/>
      <c r="J14" s="63"/>
      <c r="K14" s="63"/>
      <c r="L14" s="63"/>
      <c r="M14" s="126"/>
    </row>
    <row r="15" spans="1:13" x14ac:dyDescent="0.35">
      <c r="A15" s="15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1:13" ht="15.5" x14ac:dyDescent="0.35">
      <c r="A16" s="23" t="s">
        <v>36</v>
      </c>
      <c r="B16" s="52"/>
      <c r="C16" s="35"/>
      <c r="D16" s="6"/>
      <c r="E16" s="6"/>
      <c r="F16" s="6"/>
      <c r="G16" s="6"/>
      <c r="H16" s="6"/>
      <c r="I16" s="6"/>
      <c r="J16" s="6"/>
      <c r="K16" s="127"/>
      <c r="L16" s="127"/>
      <c r="M16" s="128"/>
    </row>
    <row r="17" spans="1:13" x14ac:dyDescent="0.35">
      <c r="A17" s="11"/>
      <c r="B17" s="12" t="s">
        <v>4</v>
      </c>
      <c r="C17" s="13">
        <f>C14+1</f>
        <v>4</v>
      </c>
      <c r="D17" s="55"/>
      <c r="E17" s="56"/>
      <c r="F17" s="56"/>
      <c r="G17" s="56"/>
      <c r="H17" s="56"/>
      <c r="I17" s="56"/>
      <c r="J17" s="57"/>
      <c r="K17" s="88"/>
      <c r="L17" s="88"/>
      <c r="M17" s="88"/>
    </row>
    <row r="18" spans="1:13" ht="13.5" customHeight="1" x14ac:dyDescent="0.35">
      <c r="A18" s="11"/>
      <c r="B18" s="14" t="s">
        <v>5</v>
      </c>
      <c r="C18" s="36">
        <f t="shared" ref="C18" si="1">C17+1</f>
        <v>5</v>
      </c>
      <c r="D18" s="58"/>
      <c r="E18" s="54"/>
      <c r="F18" s="54"/>
      <c r="G18" s="54"/>
      <c r="H18" s="54"/>
      <c r="I18" s="54"/>
      <c r="J18" s="59"/>
      <c r="K18" s="88"/>
      <c r="L18" s="88"/>
      <c r="M18" s="88"/>
    </row>
    <row r="19" spans="1:13" x14ac:dyDescent="0.35">
      <c r="A19" s="11"/>
      <c r="B19" s="37" t="str">
        <f>CONCATENATE("Check: row ",ROW(B18)," ≤ row ",ROW(B17))</f>
        <v>Check: row 18 ≤ row 17</v>
      </c>
      <c r="C19" s="13">
        <f>C18+1</f>
        <v>6</v>
      </c>
      <c r="D19" s="61"/>
      <c r="E19" s="61"/>
      <c r="F19" s="61"/>
      <c r="G19" s="61"/>
      <c r="H19" s="61"/>
      <c r="I19" s="61"/>
      <c r="J19" s="61"/>
      <c r="K19" s="38" t="str">
        <f>IF(AND(ISNUMBER(K17), ISNUMBER(K18)),IF(AND(K18 &lt;= K17), "Pass","Fail"),"")</f>
        <v/>
      </c>
      <c r="L19" s="38" t="str">
        <f t="shared" ref="L19" si="2">IF(AND(ISNUMBER(L17), ISNUMBER(L18)),IF(AND(L18 &lt;= L17), "Pass","Fail"),"")</f>
        <v/>
      </c>
      <c r="M19" s="38" t="str">
        <f>IF(AND(ISNUMBER(M17), ISNUMBER(M18)),IF(AND(M18 &lt;= M17), "Pass","Fail"),"")</f>
        <v/>
      </c>
    </row>
    <row r="20" spans="1:13" s="5" customFormat="1" x14ac:dyDescent="0.35">
      <c r="A20" s="15"/>
      <c r="C20" s="8"/>
      <c r="D20" s="6"/>
      <c r="E20" s="6"/>
      <c r="F20" s="6"/>
      <c r="G20" s="6"/>
      <c r="H20" s="6"/>
      <c r="I20" s="6"/>
      <c r="J20" s="6"/>
      <c r="M20" s="16"/>
    </row>
    <row r="21" spans="1:13" s="5" customFormat="1" ht="15.5" x14ac:dyDescent="0.35">
      <c r="A21" s="17" t="s">
        <v>37</v>
      </c>
      <c r="B21" s="18"/>
      <c r="C21" s="8"/>
      <c r="D21" s="6"/>
      <c r="E21" s="6"/>
      <c r="F21" s="6"/>
      <c r="G21" s="6"/>
      <c r="H21" s="6"/>
      <c r="I21" s="6"/>
      <c r="J21" s="6"/>
      <c r="M21" s="16"/>
    </row>
    <row r="22" spans="1:13" s="5" customFormat="1" x14ac:dyDescent="0.35">
      <c r="A22" s="19"/>
      <c r="B22" s="20" t="s">
        <v>6</v>
      </c>
      <c r="C22" s="13">
        <f>C19+1</f>
        <v>7</v>
      </c>
      <c r="D22" s="55"/>
      <c r="E22" s="56"/>
      <c r="F22" s="56"/>
      <c r="G22" s="56"/>
      <c r="H22" s="56"/>
      <c r="I22" s="56"/>
      <c r="J22" s="57"/>
      <c r="K22" s="89" t="str">
        <f>IF(AND(ISNUMBER(K23), ISNUMBER(K25), ISNUMBER(K28), ISNUMBER(K29), ISNUMBER(K30), ISNUMBER(K31),ISNUMBER(K32), ISNUMBER(K33)), K23-K25+K28+K29-K30+K31+K32+K33+K34, "")</f>
        <v/>
      </c>
      <c r="L22" s="89" t="str">
        <f>IF(AND(ISNUMBER(L23), ISNUMBER(L25), ISNUMBER(L28), ISNUMBER(L29), ISNUMBER(L30), ISNUMBER(L31),ISNUMBER(L32), ISNUMBER(L33)), L23-L25+L28+L29-L30+L31+L32+L33+L34, "")</f>
        <v/>
      </c>
      <c r="M22" s="89" t="str">
        <f>IF(AND(ISNUMBER(M23), ISNUMBER(M25), ISNUMBER(M28), ISNUMBER(M29), ISNUMBER(M30), ISNUMBER(M31),ISNUMBER(M32), ISNUMBER(M33)), M23-M25+M28+M29-M30+M31+M32+M33+M34, "")</f>
        <v/>
      </c>
    </row>
    <row r="23" spans="1:13" s="5" customFormat="1" x14ac:dyDescent="0.35">
      <c r="A23" s="11"/>
      <c r="B23" s="21" t="s">
        <v>7</v>
      </c>
      <c r="C23" s="13">
        <f t="shared" ref="C23:C35" si="3">C22+1</f>
        <v>8</v>
      </c>
      <c r="D23" s="58"/>
      <c r="E23" s="54"/>
      <c r="F23" s="54"/>
      <c r="G23" s="54"/>
      <c r="H23" s="54"/>
      <c r="I23" s="54"/>
      <c r="J23" s="59"/>
      <c r="K23" s="88"/>
      <c r="L23" s="88"/>
      <c r="M23" s="88"/>
    </row>
    <row r="24" spans="1:13" s="5" customFormat="1" x14ac:dyDescent="0.35">
      <c r="A24" s="11"/>
      <c r="B24" s="14" t="s">
        <v>8</v>
      </c>
      <c r="C24" s="13">
        <f t="shared" si="3"/>
        <v>9</v>
      </c>
      <c r="D24" s="58"/>
      <c r="E24" s="54"/>
      <c r="F24" s="54"/>
      <c r="G24" s="54"/>
      <c r="H24" s="54"/>
      <c r="I24" s="54"/>
      <c r="J24" s="59"/>
      <c r="K24" s="88"/>
      <c r="L24" s="88"/>
      <c r="M24" s="88"/>
    </row>
    <row r="25" spans="1:13" s="5" customFormat="1" x14ac:dyDescent="0.35">
      <c r="A25" s="11"/>
      <c r="B25" s="21" t="s">
        <v>9</v>
      </c>
      <c r="C25" s="13">
        <f t="shared" si="3"/>
        <v>10</v>
      </c>
      <c r="D25" s="58"/>
      <c r="E25" s="54"/>
      <c r="F25" s="54"/>
      <c r="G25" s="54"/>
      <c r="H25" s="54"/>
      <c r="I25" s="54"/>
      <c r="J25" s="59"/>
      <c r="K25" s="88"/>
      <c r="L25" s="88"/>
      <c r="M25" s="88"/>
    </row>
    <row r="26" spans="1:13" s="5" customFormat="1" x14ac:dyDescent="0.35">
      <c r="A26" s="11"/>
      <c r="B26" s="14" t="s">
        <v>10</v>
      </c>
      <c r="C26" s="13">
        <f t="shared" si="3"/>
        <v>11</v>
      </c>
      <c r="D26" s="58"/>
      <c r="E26" s="54"/>
      <c r="F26" s="54"/>
      <c r="G26" s="54"/>
      <c r="H26" s="54"/>
      <c r="I26" s="54"/>
      <c r="J26" s="59"/>
      <c r="K26" s="88"/>
      <c r="L26" s="88"/>
      <c r="M26" s="88"/>
    </row>
    <row r="27" spans="1:13" s="5" customFormat="1" x14ac:dyDescent="0.35">
      <c r="A27" s="11"/>
      <c r="B27" s="21" t="s">
        <v>11</v>
      </c>
      <c r="C27" s="13">
        <f t="shared" si="3"/>
        <v>12</v>
      </c>
      <c r="D27" s="58"/>
      <c r="E27" s="54"/>
      <c r="F27" s="54"/>
      <c r="G27" s="54"/>
      <c r="H27" s="54"/>
      <c r="I27" s="54"/>
      <c r="J27" s="59"/>
      <c r="K27" s="89" t="str">
        <f>IF(AND(ISNUMBER(K$23),ISNUMBER(K$25)),ABS(K$23-K$25),"")</f>
        <v/>
      </c>
      <c r="L27" s="89" t="str">
        <f t="shared" ref="L27" si="4">IF(AND(ISNUMBER(L$23),ISNUMBER(L$25)),ABS(L$23-L$25),"")</f>
        <v/>
      </c>
      <c r="M27" s="89" t="str">
        <f>IF(AND(ISNUMBER(M$23),ISNUMBER(M$25)),ABS(M$23-M$25),"")</f>
        <v/>
      </c>
    </row>
    <row r="28" spans="1:13" s="5" customFormat="1" x14ac:dyDescent="0.35">
      <c r="A28" s="11"/>
      <c r="B28" s="21" t="s">
        <v>12</v>
      </c>
      <c r="C28" s="13">
        <f t="shared" si="3"/>
        <v>13</v>
      </c>
      <c r="D28" s="58"/>
      <c r="E28" s="54"/>
      <c r="F28" s="54"/>
      <c r="G28" s="54"/>
      <c r="H28" s="54"/>
      <c r="I28" s="54"/>
      <c r="J28" s="59"/>
      <c r="K28" s="88"/>
      <c r="L28" s="88"/>
      <c r="M28" s="88"/>
    </row>
    <row r="29" spans="1:13" s="5" customFormat="1" x14ac:dyDescent="0.35">
      <c r="A29" s="11"/>
      <c r="B29" s="21" t="s">
        <v>13</v>
      </c>
      <c r="C29" s="13">
        <f t="shared" si="3"/>
        <v>14</v>
      </c>
      <c r="D29" s="58"/>
      <c r="E29" s="54"/>
      <c r="F29" s="54"/>
      <c r="G29" s="54"/>
      <c r="H29" s="54"/>
      <c r="I29" s="54"/>
      <c r="J29" s="59"/>
      <c r="K29" s="88"/>
      <c r="L29" s="88"/>
      <c r="M29" s="88"/>
    </row>
    <row r="30" spans="1:13" s="5" customFormat="1" x14ac:dyDescent="0.35">
      <c r="A30" s="11"/>
      <c r="B30" s="21" t="s">
        <v>14</v>
      </c>
      <c r="C30" s="13">
        <f t="shared" si="3"/>
        <v>15</v>
      </c>
      <c r="D30" s="58"/>
      <c r="E30" s="54"/>
      <c r="F30" s="54"/>
      <c r="G30" s="54"/>
      <c r="H30" s="54"/>
      <c r="I30" s="54"/>
      <c r="J30" s="59"/>
      <c r="K30" s="88"/>
      <c r="L30" s="88"/>
      <c r="M30" s="88"/>
    </row>
    <row r="31" spans="1:13" s="5" customFormat="1" x14ac:dyDescent="0.35">
      <c r="A31" s="11"/>
      <c r="B31" s="12" t="s">
        <v>15</v>
      </c>
      <c r="C31" s="13">
        <f t="shared" si="3"/>
        <v>16</v>
      </c>
      <c r="D31" s="58"/>
      <c r="E31" s="54"/>
      <c r="F31" s="54"/>
      <c r="G31" s="54"/>
      <c r="H31" s="54"/>
      <c r="I31" s="54"/>
      <c r="J31" s="59"/>
      <c r="K31" s="88"/>
      <c r="L31" s="88"/>
      <c r="M31" s="88"/>
    </row>
    <row r="32" spans="1:13" s="5" customFormat="1" x14ac:dyDescent="0.35">
      <c r="A32" s="11"/>
      <c r="B32" s="12" t="s">
        <v>16</v>
      </c>
      <c r="C32" s="13">
        <f t="shared" si="3"/>
        <v>17</v>
      </c>
      <c r="D32" s="58"/>
      <c r="E32" s="54"/>
      <c r="F32" s="54"/>
      <c r="G32" s="54"/>
      <c r="H32" s="54"/>
      <c r="I32" s="54"/>
      <c r="J32" s="59"/>
      <c r="K32" s="88"/>
      <c r="L32" s="88"/>
      <c r="M32" s="88"/>
    </row>
    <row r="33" spans="1:13" s="5" customFormat="1" x14ac:dyDescent="0.35">
      <c r="A33" s="11"/>
      <c r="B33" s="21" t="s">
        <v>17</v>
      </c>
      <c r="C33" s="13">
        <f t="shared" si="3"/>
        <v>18</v>
      </c>
      <c r="D33" s="58"/>
      <c r="E33" s="54"/>
      <c r="F33" s="54"/>
      <c r="G33" s="54"/>
      <c r="H33" s="54"/>
      <c r="I33" s="54"/>
      <c r="J33" s="59"/>
      <c r="K33" s="88"/>
      <c r="L33" s="88"/>
      <c r="M33" s="88"/>
    </row>
    <row r="34" spans="1:13" s="5" customFormat="1" x14ac:dyDescent="0.35">
      <c r="A34" s="22"/>
      <c r="B34" s="21" t="s">
        <v>18</v>
      </c>
      <c r="C34" s="13">
        <f t="shared" si="3"/>
        <v>19</v>
      </c>
      <c r="D34" s="58"/>
      <c r="E34" s="54"/>
      <c r="F34" s="54"/>
      <c r="G34" s="54"/>
      <c r="H34" s="54"/>
      <c r="I34" s="54"/>
      <c r="J34" s="59"/>
      <c r="K34" s="88"/>
      <c r="L34" s="88"/>
      <c r="M34" s="88"/>
    </row>
    <row r="35" spans="1:13" s="5" customFormat="1" x14ac:dyDescent="0.35">
      <c r="A35" s="11"/>
      <c r="B35" s="21" t="s">
        <v>19</v>
      </c>
      <c r="C35" s="13">
        <f t="shared" si="3"/>
        <v>20</v>
      </c>
      <c r="D35" s="60"/>
      <c r="E35" s="61"/>
      <c r="F35" s="61"/>
      <c r="G35" s="61"/>
      <c r="H35" s="61"/>
      <c r="I35" s="61"/>
      <c r="J35" s="62"/>
      <c r="K35" s="88"/>
      <c r="L35" s="88"/>
      <c r="M35" s="88"/>
    </row>
    <row r="36" spans="1:13" s="5" customFormat="1" ht="13" x14ac:dyDescent="0.35">
      <c r="A36" s="15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8"/>
    </row>
    <row r="37" spans="1:13" s="5" customFormat="1" ht="15.5" x14ac:dyDescent="0.35">
      <c r="A37" s="23" t="s">
        <v>45</v>
      </c>
      <c r="B37" s="18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8"/>
    </row>
    <row r="38" spans="1:13" s="5" customFormat="1" x14ac:dyDescent="0.35">
      <c r="A38" s="19"/>
      <c r="B38" s="99" t="s">
        <v>63</v>
      </c>
      <c r="C38" s="129"/>
      <c r="D38" s="9" t="s">
        <v>46</v>
      </c>
      <c r="E38" s="9" t="s">
        <v>47</v>
      </c>
      <c r="F38" s="9" t="s">
        <v>48</v>
      </c>
      <c r="G38" s="9" t="s">
        <v>49</v>
      </c>
      <c r="H38" s="9" t="s">
        <v>50</v>
      </c>
      <c r="I38" s="9" t="s">
        <v>51</v>
      </c>
      <c r="J38" s="9" t="s">
        <v>52</v>
      </c>
      <c r="K38" s="9" t="s">
        <v>1</v>
      </c>
      <c r="L38" s="9" t="s">
        <v>2</v>
      </c>
      <c r="M38" s="9" t="s">
        <v>3</v>
      </c>
    </row>
    <row r="39" spans="1:13" s="5" customFormat="1" x14ac:dyDescent="0.3">
      <c r="A39" s="11"/>
      <c r="B39" s="100" t="s">
        <v>53</v>
      </c>
      <c r="C39" s="13">
        <f>C35+1</f>
        <v>21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</row>
    <row r="40" spans="1:13" s="5" customFormat="1" x14ac:dyDescent="0.3">
      <c r="A40" s="11"/>
      <c r="B40" s="100" t="s">
        <v>54</v>
      </c>
      <c r="C40" s="13">
        <f>C39+1</f>
        <v>22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</row>
    <row r="41" spans="1:13" s="5" customFormat="1" x14ac:dyDescent="0.3">
      <c r="A41" s="11"/>
      <c r="B41" s="100" t="s">
        <v>55</v>
      </c>
      <c r="C41" s="13">
        <f t="shared" ref="C41:C53" si="5">C40+1</f>
        <v>23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</row>
    <row r="42" spans="1:13" s="5" customFormat="1" ht="13" x14ac:dyDescent="0.3">
      <c r="A42" s="11"/>
      <c r="B42" s="101" t="str">
        <f>CONCATENATE("Check: row ",ROW(B41)," ≤ row ",ROW(B40))</f>
        <v>Check: row 41 ≤ row 40</v>
      </c>
      <c r="C42" s="13">
        <f t="shared" si="5"/>
        <v>24</v>
      </c>
      <c r="D42" s="102" t="str">
        <f>IF(AND(ISNUMBER(D40), ISNUMBER(D41)),IF(AND(D41 &lt;= D40), "Pass","Fail"),"")</f>
        <v/>
      </c>
      <c r="E42" s="102" t="str">
        <f>IF(AND(ISNUMBER(E40), ISNUMBER(E41)),IF(AND(E41 &lt;= E40), "Pass","Fail"),"")</f>
        <v/>
      </c>
      <c r="F42" s="102" t="str">
        <f t="shared" ref="F42:K42" si="6">IF(AND(ISNUMBER(F40), ISNUMBER(F41)),IF(AND(F41 &lt;= F40), "Pass","Fail"),"")</f>
        <v/>
      </c>
      <c r="G42" s="102" t="str">
        <f t="shared" si="6"/>
        <v/>
      </c>
      <c r="H42" s="102" t="str">
        <f t="shared" si="6"/>
        <v/>
      </c>
      <c r="I42" s="102" t="str">
        <f>IF(AND(ISNUMBER(I40), ISNUMBER(I41)),IF(AND(I41 &lt;= I40), "Pass","Fail"),"")</f>
        <v/>
      </c>
      <c r="J42" s="102" t="str">
        <f t="shared" si="6"/>
        <v/>
      </c>
      <c r="K42" s="102" t="str">
        <f t="shared" si="6"/>
        <v/>
      </c>
      <c r="L42" s="102" t="str">
        <f>IF(AND(ISNUMBER(L40), ISNUMBER(L41)),IF(AND(L41 &lt;= L40), "Pass","Fail"),"")</f>
        <v/>
      </c>
      <c r="M42" s="102" t="str">
        <f>IF(AND(ISNUMBER(M40), ISNUMBER(M41)),IF(AND(M41 &lt;= M40), "Pass","Fail"),"")</f>
        <v/>
      </c>
    </row>
    <row r="43" spans="1:13" s="5" customFormat="1" ht="13" x14ac:dyDescent="0.3">
      <c r="A43" s="11"/>
      <c r="B43" s="100" t="s">
        <v>56</v>
      </c>
      <c r="C43" s="13">
        <f t="shared" si="5"/>
        <v>25</v>
      </c>
      <c r="D43" s="103" t="str">
        <f>IF(AND(ISNUMBER(D$39),ISNUMBER(D$40)),D$39-D$40,"")</f>
        <v/>
      </c>
      <c r="E43" s="103" t="str">
        <f t="shared" ref="E43:K43" si="7">IF(AND(ISNUMBER(E$39),ISNUMBER(E$40)),E$39-E$40,"")</f>
        <v/>
      </c>
      <c r="F43" s="103" t="str">
        <f t="shared" si="7"/>
        <v/>
      </c>
      <c r="G43" s="103" t="str">
        <f t="shared" si="7"/>
        <v/>
      </c>
      <c r="H43" s="103" t="str">
        <f t="shared" si="7"/>
        <v/>
      </c>
      <c r="I43" s="103" t="str">
        <f t="shared" si="7"/>
        <v/>
      </c>
      <c r="J43" s="103" t="str">
        <f t="shared" si="7"/>
        <v/>
      </c>
      <c r="K43" s="103" t="str">
        <f t="shared" si="7"/>
        <v/>
      </c>
      <c r="L43" s="103" t="str">
        <f>IF(AND(ISNUMBER(L$39),ISNUMBER(L$40)),L$39-L$40,"")</f>
        <v/>
      </c>
      <c r="M43" s="103" t="str">
        <f>IF(AND(ISNUMBER(M$39),ISNUMBER(M$40)),M$39-M$40,"")</f>
        <v/>
      </c>
    </row>
    <row r="44" spans="1:13" s="5" customFormat="1" x14ac:dyDescent="0.3">
      <c r="A44" s="11"/>
      <c r="B44" s="100" t="s">
        <v>57</v>
      </c>
      <c r="C44" s="13">
        <f t="shared" si="5"/>
        <v>26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</row>
    <row r="45" spans="1:13" s="5" customFormat="1" ht="13" x14ac:dyDescent="0.3">
      <c r="A45" s="11"/>
      <c r="B45" s="101" t="str">
        <f>CONCATENATE("Check: row ",ROW(B39)," &gt; 0 ↔ row ",ROW(B44), "&gt; 0")</f>
        <v>Check: row 39 &gt; 0 ↔ row 44&gt; 0</v>
      </c>
      <c r="C45" s="13">
        <f t="shared" si="5"/>
        <v>27</v>
      </c>
      <c r="D45" s="104" t="str">
        <f>IF(AND(ISNUMBER(D39), ISNUMBER(D44)),IF(D44 &gt;0, IF(D39&gt;0, "Pass","Fail"), IF(D39=0, "Pass","Fail")), "")</f>
        <v/>
      </c>
      <c r="E45" s="104" t="str">
        <f t="shared" ref="E45:K45" si="8">IF(AND(ISNUMBER(E39), ISNUMBER(E44)),IF(E44 &gt;0, IF(E39&gt;0, "Pass","Fail"), IF(E39=0, "Pass","Fail")), "")</f>
        <v/>
      </c>
      <c r="F45" s="104" t="str">
        <f t="shared" si="8"/>
        <v/>
      </c>
      <c r="G45" s="104" t="str">
        <f t="shared" si="8"/>
        <v/>
      </c>
      <c r="H45" s="104" t="str">
        <f t="shared" si="8"/>
        <v/>
      </c>
      <c r="I45" s="104" t="str">
        <f>IF(AND(ISNUMBER(I39), ISNUMBER(I44)),IF(I44 &gt;0, IF(I39&gt;0, "Pass","Fail"), IF(I39=0, "Pass","Fail")), "")</f>
        <v/>
      </c>
      <c r="J45" s="104" t="str">
        <f t="shared" si="8"/>
        <v/>
      </c>
      <c r="K45" s="104" t="str">
        <f t="shared" si="8"/>
        <v/>
      </c>
      <c r="L45" s="104" t="str">
        <f>IF(AND(ISNUMBER(L39), ISNUMBER(L44)),IF(L44 &gt;0, IF(L39&gt;0, "Pass","Fail"), IF(L39=0, "Pass","Fail")), "")</f>
        <v/>
      </c>
      <c r="M45" s="104" t="str">
        <f>IF(AND(ISNUMBER(M39), ISNUMBER(M44)),IF(M44 &gt;0, IF(M39&gt;0, "Pass","Fail"), IF(M39=0, "Pass","Fail")), "")</f>
        <v/>
      </c>
    </row>
    <row r="46" spans="1:13" s="5" customFormat="1" ht="13" x14ac:dyDescent="0.3">
      <c r="A46" s="11"/>
      <c r="B46" s="100" t="s">
        <v>58</v>
      </c>
      <c r="C46" s="13">
        <f t="shared" si="5"/>
        <v>28</v>
      </c>
      <c r="D46" s="105"/>
      <c r="E46" s="140"/>
      <c r="F46" s="141"/>
      <c r="G46" s="141"/>
      <c r="H46" s="141"/>
      <c r="I46" s="141"/>
      <c r="J46" s="141"/>
      <c r="K46" s="141"/>
      <c r="L46" s="141"/>
      <c r="M46" s="142"/>
    </row>
    <row r="47" spans="1:13" s="5" customFormat="1" ht="13" x14ac:dyDescent="0.3">
      <c r="A47" s="11"/>
      <c r="B47" s="108" t="str">
        <f ca="1">CONCATENATE("Check: sum(row ",ROW(B44),") ≥ ",CELL("address",D46),"≥ max(row ",ROW(B44),")")</f>
        <v>Check: sum(row 44) ≥ $D$46≥ max(row 44)</v>
      </c>
      <c r="C47" s="13">
        <f t="shared" si="5"/>
        <v>29</v>
      </c>
      <c r="D47" s="104" t="str">
        <f>IF(AND(ISNUMBER(D44),ISNUMBER(E44),ISNUMBER(F44),ISNUMBER(G44),ISNUMBER(H44),ISNUMBER(I44),ISNUMBER(J44),ISNUMBER(K44),ISNUMBER(L44),ISNUMBER(M44)),IF(AND(SUM(D44:M44)&gt;=D46,D46&gt;=MAX(D44:M44)), "Pass","Fail"),"")</f>
        <v/>
      </c>
      <c r="E47" s="143"/>
      <c r="F47" s="144"/>
      <c r="G47" s="144"/>
      <c r="H47" s="144"/>
      <c r="I47" s="144"/>
      <c r="J47" s="144"/>
      <c r="K47" s="144"/>
      <c r="L47" s="144"/>
      <c r="M47" s="145"/>
    </row>
    <row r="48" spans="1:13" s="5" customFormat="1" ht="13" x14ac:dyDescent="0.3">
      <c r="A48" s="111"/>
      <c r="B48" s="101" t="str">
        <f ca="1">CONCATENATE("Check: sum(row ",ROW(B43),")/",CELL("address",D46),"≥ ZAR 50,000 or ",CELL("address",D46),"=0")</f>
        <v>Check: sum(row 43)/$D$46≥ ZAR 50,000 or $D$46=0</v>
      </c>
      <c r="C48" s="13">
        <f t="shared" si="5"/>
        <v>30</v>
      </c>
      <c r="D48" s="104" t="str">
        <f>IF(AND(ISNUMBER(D43),ISNUMBER(E43),ISNUMBER(F43),ISNUMBER(G43),ISNUMBER(H43),ISNUMBER(I43),ISNUMBER(J43),ISNUMBER(K43),ISNUMBER(L43),ISNUMBER(M43)),IF(D46=0,"Pass",IF(SUM(D43:M43)/D46&gt;=50000/(1000),"Pass","Fail")),"")</f>
        <v/>
      </c>
      <c r="E48" s="146"/>
      <c r="F48" s="147"/>
      <c r="G48" s="147"/>
      <c r="H48" s="147"/>
      <c r="I48" s="147"/>
      <c r="J48" s="147"/>
      <c r="K48" s="147"/>
      <c r="L48" s="147"/>
      <c r="M48" s="148"/>
    </row>
    <row r="49" spans="1:13" s="5" customFormat="1" x14ac:dyDescent="0.3">
      <c r="A49" s="11"/>
      <c r="B49" s="114" t="s">
        <v>59</v>
      </c>
      <c r="C49" s="13">
        <f t="shared" si="5"/>
        <v>31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3" s="5" customFormat="1" ht="13" x14ac:dyDescent="0.3">
      <c r="A50" s="11"/>
      <c r="B50" s="114" t="s">
        <v>60</v>
      </c>
      <c r="C50" s="13">
        <f t="shared" si="5"/>
        <v>32</v>
      </c>
      <c r="D50" s="89" t="str">
        <f t="shared" ref="D50:M50" si="9">IF(AND(ISNUMBER(D$43),ISNUMBER(D$49)),D$43-D$49,"")</f>
        <v/>
      </c>
      <c r="E50" s="89" t="str">
        <f t="shared" si="9"/>
        <v/>
      </c>
      <c r="F50" s="89" t="str">
        <f t="shared" si="9"/>
        <v/>
      </c>
      <c r="G50" s="89" t="str">
        <f t="shared" si="9"/>
        <v/>
      </c>
      <c r="H50" s="89" t="str">
        <f t="shared" si="9"/>
        <v/>
      </c>
      <c r="I50" s="89" t="str">
        <f t="shared" si="9"/>
        <v/>
      </c>
      <c r="J50" s="89" t="str">
        <f t="shared" si="9"/>
        <v/>
      </c>
      <c r="K50" s="89" t="str">
        <f t="shared" si="9"/>
        <v/>
      </c>
      <c r="L50" s="89" t="str">
        <f t="shared" si="9"/>
        <v/>
      </c>
      <c r="M50" s="89" t="str">
        <f t="shared" si="9"/>
        <v/>
      </c>
    </row>
    <row r="51" spans="1:13" s="5" customFormat="1" ht="13" x14ac:dyDescent="0.3">
      <c r="A51" s="11"/>
      <c r="B51" s="114" t="s">
        <v>61</v>
      </c>
      <c r="C51" s="13">
        <f t="shared" si="5"/>
        <v>33</v>
      </c>
      <c r="D51" s="105"/>
      <c r="E51" s="140"/>
      <c r="F51" s="141"/>
      <c r="G51" s="141"/>
      <c r="H51" s="141"/>
      <c r="I51" s="141"/>
      <c r="J51" s="141"/>
      <c r="K51" s="141"/>
      <c r="L51" s="141"/>
      <c r="M51" s="142"/>
    </row>
    <row r="52" spans="1:13" s="5" customFormat="1" ht="13" x14ac:dyDescent="0.3">
      <c r="A52" s="15"/>
      <c r="B52" s="101" t="str">
        <f ca="1">CONCATENATE("Check: ",CELL("address",D46),"≥ ",CELL("address",D51),"≥ 0")</f>
        <v>Check: $D$46≥ $D$51≥ 0</v>
      </c>
      <c r="C52" s="13">
        <f t="shared" si="5"/>
        <v>34</v>
      </c>
      <c r="D52" s="104" t="str">
        <f>IF(AND(ISNUMBER(D46), ISNUMBER(D51)), IF(AND(D46&gt;=D51, D51&gt;=0), "Pass","Fail"),"")</f>
        <v/>
      </c>
      <c r="E52" s="143"/>
      <c r="F52" s="144"/>
      <c r="G52" s="144"/>
      <c r="H52" s="144"/>
      <c r="I52" s="144"/>
      <c r="J52" s="144"/>
      <c r="K52" s="144"/>
      <c r="L52" s="144"/>
      <c r="M52" s="145"/>
    </row>
    <row r="53" spans="1:13" s="5" customFormat="1" ht="13" x14ac:dyDescent="0.3">
      <c r="A53" s="11"/>
      <c r="B53" s="108" t="str">
        <f ca="1">CONCATENATE("Check: sum(row ",ROW(B50),")/(",CELL("address",D46)," - ",CELL("address",D51),")≥ ZAR 50,000 or ",CELL("address",D46)," - ",CELL("address",D51),"=0")</f>
        <v>Check: sum(row 50)/($D$46 - $D$51)≥ ZAR 50,000 or $D$46 - $D$51=0</v>
      </c>
      <c r="C53" s="13">
        <f t="shared" si="5"/>
        <v>35</v>
      </c>
      <c r="D53" s="104" t="str">
        <f>IF(AND(ISNUMBER(D50),ISNUMBER(E50),ISNUMBER(F50),ISNUMBER(G50),ISNUMBER(H50),ISNUMBER(I50),ISNUMBER(J50),ISNUMBER(K50),ISNUMBER(L50),ISNUMBER(M50)),IF(D46-D51=0,"Pass", IF(SUM(D50:M50)/(D46-D51)&gt;=350000/(1000),"Pass","Fail")),"")</f>
        <v/>
      </c>
      <c r="E53" s="146"/>
      <c r="F53" s="147"/>
      <c r="G53" s="147"/>
      <c r="H53" s="147"/>
      <c r="I53" s="147"/>
      <c r="J53" s="147"/>
      <c r="K53" s="147"/>
      <c r="L53" s="147"/>
      <c r="M53" s="148"/>
    </row>
    <row r="54" spans="1:13" s="5" customFormat="1" ht="13" x14ac:dyDescent="0.3">
      <c r="A54" s="11"/>
      <c r="B54" s="101"/>
      <c r="C54" s="35"/>
      <c r="D54" s="115"/>
      <c r="E54" s="115"/>
      <c r="F54" s="115"/>
      <c r="G54" s="115"/>
      <c r="H54" s="115"/>
      <c r="I54" s="115"/>
      <c r="J54" s="115"/>
      <c r="K54" s="115"/>
      <c r="L54" s="115"/>
      <c r="M54" s="116"/>
    </row>
    <row r="55" spans="1:13" s="5" customFormat="1" ht="13" x14ac:dyDescent="0.3">
      <c r="A55" s="11"/>
      <c r="B55" s="114" t="s">
        <v>53</v>
      </c>
      <c r="C55" s="13">
        <f>C53+1</f>
        <v>36</v>
      </c>
      <c r="D55" s="106"/>
      <c r="E55" s="107"/>
      <c r="F55" s="107"/>
      <c r="G55" s="107"/>
      <c r="H55" s="107"/>
      <c r="I55" s="117"/>
      <c r="J55" s="117"/>
      <c r="K55" s="107"/>
      <c r="L55" s="118"/>
      <c r="M55" s="89" t="str">
        <f>IF(COUNT($D39:$M39)&gt;0,AVERAGE($D39:$M39),"")</f>
        <v/>
      </c>
    </row>
    <row r="56" spans="1:13" s="5" customFormat="1" ht="13" x14ac:dyDescent="0.3">
      <c r="A56" s="11"/>
      <c r="B56" s="114" t="s">
        <v>54</v>
      </c>
      <c r="C56" s="13">
        <f>C55+1</f>
        <v>37</v>
      </c>
      <c r="D56" s="109"/>
      <c r="E56" s="110"/>
      <c r="F56" s="110"/>
      <c r="G56" s="110"/>
      <c r="H56" s="110"/>
      <c r="I56" s="119"/>
      <c r="J56" s="119"/>
      <c r="K56" s="110"/>
      <c r="L56" s="120"/>
      <c r="M56" s="89" t="str">
        <f>IF(COUNT($D40:$M40)&gt;0,AVERAGE($D40:$M40),"")</f>
        <v/>
      </c>
    </row>
    <row r="57" spans="1:13" s="5" customFormat="1" ht="13" x14ac:dyDescent="0.3">
      <c r="A57" s="111"/>
      <c r="B57" s="114" t="s">
        <v>55</v>
      </c>
      <c r="C57" s="13">
        <f t="shared" ref="C57:C61" si="10">C56+1</f>
        <v>38</v>
      </c>
      <c r="D57" s="109"/>
      <c r="E57" s="110"/>
      <c r="F57" s="110"/>
      <c r="G57" s="110"/>
      <c r="H57" s="110"/>
      <c r="I57" s="119"/>
      <c r="J57" s="119"/>
      <c r="K57" s="110"/>
      <c r="L57" s="120"/>
      <c r="M57" s="89" t="str">
        <f>IF(COUNT($D41:$M41)&gt;0,AVERAGE($D41:$M41),"")</f>
        <v/>
      </c>
    </row>
    <row r="58" spans="1:13" s="5" customFormat="1" ht="13" x14ac:dyDescent="0.3">
      <c r="A58" s="11"/>
      <c r="B58" s="114" t="s">
        <v>56</v>
      </c>
      <c r="C58" s="13">
        <f t="shared" si="10"/>
        <v>39</v>
      </c>
      <c r="D58" s="109"/>
      <c r="E58" s="110"/>
      <c r="F58" s="110"/>
      <c r="G58" s="110"/>
      <c r="H58" s="110"/>
      <c r="I58" s="119"/>
      <c r="J58" s="119"/>
      <c r="K58" s="110"/>
      <c r="L58" s="120"/>
      <c r="M58" s="89" t="str">
        <f>IF(COUNT($D43:$M43)&gt;0,AVERAGE($D43:$M43),"")</f>
        <v/>
      </c>
    </row>
    <row r="59" spans="1:13" s="5" customFormat="1" ht="13" x14ac:dyDescent="0.3">
      <c r="A59" s="11"/>
      <c r="B59" s="114" t="s">
        <v>57</v>
      </c>
      <c r="C59" s="13">
        <f t="shared" si="10"/>
        <v>40</v>
      </c>
      <c r="D59" s="109"/>
      <c r="E59" s="110"/>
      <c r="F59" s="110"/>
      <c r="G59" s="110"/>
      <c r="H59" s="110"/>
      <c r="I59" s="119"/>
      <c r="J59" s="119"/>
      <c r="K59" s="110"/>
      <c r="L59" s="120"/>
      <c r="M59" s="89" t="str">
        <f>IF(COUNT($D44:$M44)&gt;0,AVERAGE($D44:$M44),"")</f>
        <v/>
      </c>
    </row>
    <row r="60" spans="1:13" s="5" customFormat="1" ht="13" x14ac:dyDescent="0.3">
      <c r="A60" s="11"/>
      <c r="B60" s="114" t="s">
        <v>59</v>
      </c>
      <c r="C60" s="13">
        <f t="shared" si="10"/>
        <v>41</v>
      </c>
      <c r="D60" s="109"/>
      <c r="E60" s="110"/>
      <c r="F60" s="110"/>
      <c r="G60" s="110"/>
      <c r="H60" s="110"/>
      <c r="I60" s="119"/>
      <c r="J60" s="119"/>
      <c r="K60" s="110"/>
      <c r="L60" s="120"/>
      <c r="M60" s="89" t="str">
        <f>IF(COUNT($D49:$M49)&gt;0,AVERAGE($D49:$M49),"")</f>
        <v/>
      </c>
    </row>
    <row r="61" spans="1:13" s="5" customFormat="1" ht="13" x14ac:dyDescent="0.3">
      <c r="A61" s="111"/>
      <c r="B61" s="114" t="s">
        <v>60</v>
      </c>
      <c r="C61" s="13">
        <f t="shared" si="10"/>
        <v>42</v>
      </c>
      <c r="D61" s="112"/>
      <c r="E61" s="113"/>
      <c r="F61" s="113"/>
      <c r="G61" s="113"/>
      <c r="H61" s="113"/>
      <c r="I61" s="121"/>
      <c r="J61" s="121"/>
      <c r="K61" s="113"/>
      <c r="L61" s="122"/>
      <c r="M61" s="89" t="str">
        <f>IF(COUNT($D50:$M50)&gt;0,AVERAGE($D50:$M50),"")</f>
        <v/>
      </c>
    </row>
    <row r="62" spans="1:13" s="5" customFormat="1" ht="15.5" x14ac:dyDescent="0.35">
      <c r="A62" s="17"/>
      <c r="B62" s="18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8"/>
    </row>
    <row r="63" spans="1:13" s="5" customFormat="1" ht="15.5" x14ac:dyDescent="0.35">
      <c r="A63" s="23" t="s">
        <v>62</v>
      </c>
      <c r="B63" s="24"/>
      <c r="C63" s="25"/>
      <c r="D63" s="26"/>
      <c r="E63" s="26"/>
      <c r="F63" s="26"/>
      <c r="G63" s="26"/>
      <c r="H63" s="26"/>
      <c r="I63" s="27"/>
      <c r="J63" s="27"/>
      <c r="K63" s="27"/>
      <c r="L63" s="27"/>
      <c r="M63" s="28"/>
    </row>
    <row r="64" spans="1:13" s="5" customFormat="1" ht="13" x14ac:dyDescent="0.3">
      <c r="A64" s="11"/>
      <c r="B64" s="29" t="s">
        <v>20</v>
      </c>
      <c r="C64" s="13">
        <f>C61+1</f>
        <v>43</v>
      </c>
      <c r="D64" s="65"/>
      <c r="E64" s="66"/>
      <c r="F64" s="66"/>
      <c r="G64" s="66"/>
      <c r="H64" s="66"/>
      <c r="I64" s="66"/>
      <c r="J64" s="66"/>
      <c r="K64" s="66"/>
      <c r="L64" s="67"/>
      <c r="M64" s="89" t="str" cm="1">
        <f t="array" ref="M64">IF(AND(ISNUMBER(K$27:M$27),ISNUMBER(K$18:M$18),ISNUMBER(K$28:M$28)),MIN(AVERAGE(K$27:M$27),0.0225*AVERAGE(K$18:M$18))+AVERAGE(K$28:M$28),"")</f>
        <v/>
      </c>
    </row>
    <row r="65" spans="1:76" s="5" customFormat="1" ht="13" x14ac:dyDescent="0.3">
      <c r="A65" s="11"/>
      <c r="B65" s="29" t="s">
        <v>21</v>
      </c>
      <c r="C65" s="13">
        <f>C64+1</f>
        <v>44</v>
      </c>
      <c r="D65" s="68"/>
      <c r="E65" s="69"/>
      <c r="F65" s="69"/>
      <c r="G65" s="69"/>
      <c r="H65" s="69"/>
      <c r="I65" s="69"/>
      <c r="J65" s="69"/>
      <c r="K65" s="69"/>
      <c r="L65" s="70"/>
      <c r="M65" s="89" t="str" cm="1">
        <f t="array" ref="M65">IF(AND(ISNUMBER($K33:$M33),ISNUMBER($K35:$M35),ISNUMBER(K$29:M$29),ISNUMBER(K$30:M$30)),MAX(AVERAGE($K33:$M33),AVERAGE($K35:$M35))+MAX(AVERAGE(K$29:M$29),AVERAGE(K$30:M$30)),"")</f>
        <v/>
      </c>
    </row>
    <row r="66" spans="1:76" s="34" customFormat="1" ht="13" x14ac:dyDescent="0.3">
      <c r="A66" s="11"/>
      <c r="B66" s="29" t="s">
        <v>22</v>
      </c>
      <c r="C66" s="13">
        <f t="shared" ref="C66:C73" si="11">C65+1</f>
        <v>45</v>
      </c>
      <c r="D66" s="71"/>
      <c r="E66" s="72"/>
      <c r="F66" s="72"/>
      <c r="G66" s="72"/>
      <c r="H66" s="72"/>
      <c r="I66" s="72"/>
      <c r="J66" s="72"/>
      <c r="K66" s="72"/>
      <c r="L66" s="70"/>
      <c r="M66" s="89" t="str" cm="1">
        <f t="array" ref="M66">IF(AND(ISNUMBER(K$31:M$31)+ISNUMBER(K$32:M$32)),AVERAGE(ABS(K$31:M$31))+AVERAGE(ABS(K$32:M$32)),"")</f>
        <v/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</row>
    <row r="67" spans="1:76" s="39" customFormat="1" ht="13" x14ac:dyDescent="0.3">
      <c r="A67" s="11"/>
      <c r="B67" s="29" t="s">
        <v>23</v>
      </c>
      <c r="C67" s="13">
        <f t="shared" si="11"/>
        <v>46</v>
      </c>
      <c r="D67" s="68"/>
      <c r="E67" s="69"/>
      <c r="F67" s="69"/>
      <c r="G67" s="69"/>
      <c r="H67" s="69"/>
      <c r="I67" s="69"/>
      <c r="J67" s="69"/>
      <c r="K67" s="69"/>
      <c r="L67" s="70"/>
      <c r="M67" s="89" t="str">
        <f>IF(AND(ISNUMBER($M$64),ISNUMBER($M$65),ISNUMBER(M66)),SUM($M$64:$M$66),"")</f>
        <v/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</row>
    <row r="68" spans="1:76" s="39" customFormat="1" ht="13" x14ac:dyDescent="0.3">
      <c r="A68" s="11"/>
      <c r="B68" s="30" t="s">
        <v>24</v>
      </c>
      <c r="C68" s="13">
        <f t="shared" si="11"/>
        <v>47</v>
      </c>
      <c r="D68" s="68"/>
      <c r="E68" s="69"/>
      <c r="F68" s="69"/>
      <c r="G68" s="69"/>
      <c r="H68" s="69"/>
      <c r="I68" s="69"/>
      <c r="J68" s="69"/>
      <c r="K68" s="69"/>
      <c r="L68" s="70"/>
      <c r="M68" s="89" t="str">
        <f>IF(AND(ISNUMBER(M$67)),IF(1000*M$67&lt;=5000000000,1,IF(1000*M$67&lt;=150000000000,2,3)),"")</f>
        <v/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</row>
    <row r="69" spans="1:76" s="34" customFormat="1" ht="13" x14ac:dyDescent="0.3">
      <c r="A69" s="11"/>
      <c r="B69" s="29" t="s">
        <v>25</v>
      </c>
      <c r="C69" s="13">
        <f t="shared" si="11"/>
        <v>48</v>
      </c>
      <c r="D69" s="68"/>
      <c r="E69" s="69"/>
      <c r="F69" s="69"/>
      <c r="G69" s="69"/>
      <c r="H69" s="69"/>
      <c r="I69" s="69"/>
      <c r="J69" s="69"/>
      <c r="K69" s="69"/>
      <c r="L69" s="70"/>
      <c r="M69" s="90" t="str">
        <f>IF(ISNUMBER(M$67), IF(M$67&lt;(5000000000/(1000)), 0.12*M$67, IF(M$67&lt;(150000000000/(1000)), (600000000/(1000))+0.15*(M$67-(5000000000/(1000))), (22350000000/(1000))+0.18*(M$67-(150000000000/(1000))))), "")</f>
        <v/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</row>
    <row r="70" spans="1:76" s="34" customFormat="1" ht="15" customHeight="1" x14ac:dyDescent="0.3">
      <c r="A70" s="11"/>
      <c r="B70" s="29" t="s">
        <v>26</v>
      </c>
      <c r="C70" s="13">
        <f t="shared" si="11"/>
        <v>49</v>
      </c>
      <c r="D70" s="68"/>
      <c r="E70" s="69"/>
      <c r="F70" s="69"/>
      <c r="G70" s="69"/>
      <c r="H70" s="69"/>
      <c r="I70" s="69"/>
      <c r="J70" s="69"/>
      <c r="K70" s="69"/>
      <c r="L70" s="73"/>
      <c r="M70" s="51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</row>
    <row r="71" spans="1:76" s="5" customFormat="1" ht="13" x14ac:dyDescent="0.3">
      <c r="A71" s="11"/>
      <c r="B71" s="29" t="s">
        <v>27</v>
      </c>
      <c r="C71" s="13">
        <f t="shared" si="11"/>
        <v>50</v>
      </c>
      <c r="D71" s="74"/>
      <c r="E71" s="75"/>
      <c r="F71" s="75"/>
      <c r="G71" s="75"/>
      <c r="H71" s="75"/>
      <c r="I71" s="75"/>
      <c r="J71" s="75"/>
      <c r="K71" s="75"/>
      <c r="L71" s="70"/>
      <c r="M71" s="89" t="str">
        <f>IF(AND(ISNUMBER(M$67),ISNUMBER(M$70)),M$70-M$67,"")</f>
        <v/>
      </c>
    </row>
    <row r="72" spans="1:76" s="5" customFormat="1" ht="13" x14ac:dyDescent="0.3">
      <c r="A72" s="11"/>
      <c r="B72" s="29" t="s">
        <v>28</v>
      </c>
      <c r="C72" s="13">
        <f t="shared" si="11"/>
        <v>51</v>
      </c>
      <c r="D72" s="76"/>
      <c r="E72" s="77"/>
      <c r="F72" s="77"/>
      <c r="G72" s="77"/>
      <c r="H72" s="77"/>
      <c r="I72" s="77"/>
      <c r="J72" s="77"/>
      <c r="K72" s="77"/>
      <c r="L72" s="78"/>
      <c r="M72" s="89" t="str">
        <f>IF(AND(ISNUMBER($M$61)),$M$61*15,"")</f>
        <v/>
      </c>
    </row>
    <row r="73" spans="1:76" s="5" customFormat="1" ht="13" x14ac:dyDescent="0.3">
      <c r="A73" s="11"/>
      <c r="B73" s="29" t="s">
        <v>29</v>
      </c>
      <c r="C73" s="13">
        <f t="shared" si="11"/>
        <v>52</v>
      </c>
      <c r="D73" s="79"/>
      <c r="E73" s="80"/>
      <c r="F73" s="80"/>
      <c r="G73" s="80"/>
      <c r="H73" s="80"/>
      <c r="I73" s="80"/>
      <c r="J73" s="80"/>
      <c r="K73" s="80"/>
      <c r="L73" s="81"/>
      <c r="M73" s="91">
        <f>IF($D$12=0,1,IF(AND(ISNUMBER(M69),ISNUMBER(M72)),(LN(EXP(1)-1+(M72/M69)^0.8)),""))</f>
        <v>1</v>
      </c>
    </row>
    <row r="74" spans="1:76" s="5" customFormat="1" x14ac:dyDescent="0.35">
      <c r="A74" s="15"/>
      <c r="C74" s="8"/>
      <c r="M74" s="16"/>
    </row>
    <row r="75" spans="1:76" s="5" customFormat="1" ht="15.5" x14ac:dyDescent="0.35">
      <c r="A75" s="23" t="str">
        <f xml:space="preserve"> IF(C8="Bank Solo","F) Not Applicable",CONCATENATE("F) Operational Risk Capital (Bank Solo)"))</f>
        <v>F) Not Applicable</v>
      </c>
      <c r="B75" s="24"/>
      <c r="C75" s="25"/>
      <c r="D75" s="26"/>
      <c r="F75" s="26"/>
      <c r="G75" s="26"/>
      <c r="H75" s="26"/>
      <c r="I75" s="26"/>
      <c r="J75" s="26"/>
      <c r="K75" s="26"/>
      <c r="L75" s="27"/>
      <c r="M75" s="28"/>
    </row>
    <row r="76" spans="1:76" s="5" customFormat="1" ht="15.5" x14ac:dyDescent="0.35">
      <c r="A76" s="23"/>
      <c r="B76" s="24" t="s">
        <v>30</v>
      </c>
      <c r="C76" s="129">
        <f>C73+1</f>
        <v>53</v>
      </c>
      <c r="D76" s="82"/>
      <c r="E76" s="83"/>
      <c r="F76" s="83"/>
      <c r="G76" s="83"/>
      <c r="H76" s="83"/>
      <c r="I76" s="83"/>
      <c r="J76" s="83"/>
      <c r="K76" s="83"/>
      <c r="L76" s="84"/>
      <c r="M76" s="51"/>
    </row>
    <row r="77" spans="1:76" s="5" customFormat="1" ht="15.5" x14ac:dyDescent="0.35">
      <c r="A77" s="23"/>
      <c r="B77" s="24" t="s">
        <v>25</v>
      </c>
      <c r="C77" s="135">
        <f>C76+1</f>
        <v>54</v>
      </c>
      <c r="D77" s="79"/>
      <c r="E77" s="80"/>
      <c r="F77" s="80"/>
      <c r="G77" s="80"/>
      <c r="H77" s="80"/>
      <c r="I77" s="80"/>
      <c r="J77" s="80"/>
      <c r="K77" s="80"/>
      <c r="L77" s="81"/>
      <c r="M77" s="51"/>
    </row>
    <row r="78" spans="1:76" s="5" customFormat="1" ht="15.5" x14ac:dyDescent="0.35">
      <c r="A78" s="17"/>
      <c r="C78" s="136"/>
      <c r="M78" s="123"/>
    </row>
    <row r="79" spans="1:76" s="5" customFormat="1" ht="15.5" x14ac:dyDescent="0.35">
      <c r="A79" s="130" t="str">
        <f>CONCATENATE("G) Operational Risk Capital"," ","(",C8,")")</f>
        <v>G) Operational Risk Capital (Bank Solo)</v>
      </c>
      <c r="B79" s="24"/>
      <c r="C79" s="137"/>
      <c r="D79" s="26"/>
      <c r="E79" s="26"/>
      <c r="F79" s="26"/>
      <c r="G79" s="26"/>
      <c r="H79" s="26"/>
      <c r="I79" s="26"/>
      <c r="J79" s="26"/>
      <c r="K79" s="26"/>
      <c r="L79" s="27"/>
      <c r="M79" s="28"/>
    </row>
    <row r="80" spans="1:76" s="5" customFormat="1" x14ac:dyDescent="0.35">
      <c r="A80" s="11"/>
      <c r="B80" s="30" t="s">
        <v>30</v>
      </c>
      <c r="C80" s="135">
        <f>C77+1</f>
        <v>55</v>
      </c>
      <c r="D80" s="77"/>
      <c r="E80" s="77"/>
      <c r="F80" s="77"/>
      <c r="G80" s="77"/>
      <c r="H80" s="77"/>
      <c r="I80" s="77"/>
      <c r="J80" s="77"/>
      <c r="K80" s="77"/>
      <c r="L80" s="77"/>
      <c r="M80" s="89" t="str">
        <f>IF(C8="Bank Solo",IF(AND(ISNUMBER(M$69),ISNUMBER($M$73), ISNUMBER($D$13)),M$69*IF($M$73&lt;$D$13,$D$13,$M$73),""), IF(AND(ISNUMBER(M$69),ISNUMBER($M$76),ISNUMBER($M$77)),M$69-$M$77+$M$76,""))</f>
        <v/>
      </c>
    </row>
    <row r="81" spans="1:13" s="5" customFormat="1" x14ac:dyDescent="0.35">
      <c r="A81" s="11"/>
      <c r="B81" s="30" t="s">
        <v>69</v>
      </c>
      <c r="C81" s="135">
        <f t="shared" ref="C81:C84" si="12">C80+1</f>
        <v>56</v>
      </c>
      <c r="D81" s="77"/>
      <c r="E81" s="77"/>
      <c r="F81" s="77"/>
      <c r="G81" s="77"/>
      <c r="H81" s="77"/>
      <c r="I81" s="77"/>
      <c r="J81" s="77"/>
      <c r="K81" s="77"/>
      <c r="L81" s="77"/>
      <c r="M81" s="89" t="str">
        <f>IF(AND(ISNUMBER($K$22),ISNUMBER($L$22),ISNUMBER($M$22)),MAX(M80,AVERAGEIF(K22:M22,"&gt;0")*D14),"")</f>
        <v/>
      </c>
    </row>
    <row r="82" spans="1:13" s="5" customFormat="1" x14ac:dyDescent="0.35">
      <c r="A82" s="11"/>
      <c r="B82" s="30" t="s">
        <v>31</v>
      </c>
      <c r="C82" s="137">
        <f t="shared" si="12"/>
        <v>57</v>
      </c>
      <c r="D82" s="76"/>
      <c r="E82" s="77"/>
      <c r="F82" s="77"/>
      <c r="G82" s="77"/>
      <c r="H82" s="77"/>
      <c r="I82" s="77"/>
      <c r="J82" s="77"/>
      <c r="K82" s="77"/>
      <c r="L82" s="78"/>
      <c r="M82" s="89" t="str">
        <f>IF(AND(ISNUMBER(M$80)),12.5*M$80,"")</f>
        <v/>
      </c>
    </row>
    <row r="83" spans="1:13" x14ac:dyDescent="0.35">
      <c r="A83" s="11"/>
      <c r="B83" s="30" t="s">
        <v>67</v>
      </c>
      <c r="C83" s="137">
        <f t="shared" si="12"/>
        <v>58</v>
      </c>
      <c r="D83" s="85"/>
      <c r="E83" s="86"/>
      <c r="F83" s="86"/>
      <c r="G83" s="86"/>
      <c r="H83" s="86"/>
      <c r="I83" s="86"/>
      <c r="J83" s="86"/>
      <c r="K83" s="86"/>
      <c r="L83" s="87"/>
      <c r="M83" s="89" t="str">
        <f>IF(AND(ISNUMBER(M$81)),12.5*M$81,"")</f>
        <v/>
      </c>
    </row>
    <row r="84" spans="1:13" x14ac:dyDescent="0.35">
      <c r="A84" s="92" t="s">
        <v>39</v>
      </c>
      <c r="B84" s="92"/>
      <c r="C84" s="137">
        <f t="shared" si="12"/>
        <v>59</v>
      </c>
      <c r="D84" s="93"/>
      <c r="E84" s="94"/>
      <c r="F84" s="95"/>
      <c r="G84" s="95"/>
      <c r="H84" s="95"/>
      <c r="I84" s="95"/>
      <c r="J84" s="95"/>
      <c r="K84" s="95"/>
      <c r="L84" s="95"/>
      <c r="M84" s="96"/>
    </row>
  </sheetData>
  <mergeCells count="2">
    <mergeCell ref="E46:M48"/>
    <mergeCell ref="E51:M53"/>
  </mergeCells>
  <conditionalFormatting sqref="A4 D4:M4 A5:B7 A9 A10:C10 A11:B61 K63:M64 D63:J73 A63:B74 D74 F74:J74 B75 D75:J75 A76:B77">
    <cfRule type="cellIs" dxfId="104" priority="20" stopIfTrue="1" operator="equal">
      <formula>"Pass"</formula>
    </cfRule>
  </conditionalFormatting>
  <conditionalFormatting sqref="A4 D4:M4 A5:B7 A8:M9 A10:C10 A11:B61 K63:M64 D63:J73 A63:B74 D74 F74:J74 B75 D75:J75 A76:B77">
    <cfRule type="cellIs" dxfId="103" priority="21" stopIfTrue="1" operator="equal">
      <formula>"Fail"</formula>
    </cfRule>
  </conditionalFormatting>
  <conditionalFormatting sqref="A75">
    <cfRule type="expression" dxfId="102" priority="1">
      <formula>$C$8="Bank Solo"</formula>
    </cfRule>
  </conditionalFormatting>
  <conditionalFormatting sqref="A2:M3">
    <cfRule type="cellIs" dxfId="101" priority="140" stopIfTrue="1" operator="equal">
      <formula>"Fail"</formula>
    </cfRule>
    <cfRule type="cellIs" dxfId="100" priority="139" stopIfTrue="1" operator="equal">
      <formula>"Pass"</formula>
    </cfRule>
  </conditionalFormatting>
  <conditionalFormatting sqref="A8:M8">
    <cfRule type="cellIs" dxfId="99" priority="8" stopIfTrue="1" operator="equal">
      <formula>"Pass"</formula>
    </cfRule>
  </conditionalFormatting>
  <conditionalFormatting sqref="A62:M62">
    <cfRule type="cellIs" dxfId="98" priority="56" stopIfTrue="1" operator="equal">
      <formula>"Pass"</formula>
    </cfRule>
    <cfRule type="cellIs" dxfId="97" priority="57" stopIfTrue="1" operator="equal">
      <formula>"Fail"</formula>
    </cfRule>
  </conditionalFormatting>
  <conditionalFormatting sqref="C11">
    <cfRule type="cellIs" dxfId="96" priority="95" stopIfTrue="1" operator="equal">
      <formula>"Fail"</formula>
    </cfRule>
    <cfRule type="cellIs" dxfId="95" priority="94" stopIfTrue="1" operator="equal">
      <formula>"Pass"</formula>
    </cfRule>
  </conditionalFormatting>
  <conditionalFormatting sqref="C15:M15">
    <cfRule type="cellIs" dxfId="94" priority="12" stopIfTrue="1" operator="equal">
      <formula>"Pass"</formula>
    </cfRule>
    <cfRule type="cellIs" dxfId="93" priority="13" stopIfTrue="1" operator="equal">
      <formula>"Fail"</formula>
    </cfRule>
  </conditionalFormatting>
  <conditionalFormatting sqref="C36:M37 A78:M78 D79:J79 A79:B1048576 D80:M81 D82:J83 D10:M11 D85:M87 D88:H88 J88:M88 D89:M1048576">
    <cfRule type="cellIs" dxfId="92" priority="62" stopIfTrue="1" operator="equal">
      <formula>"Fail"</formula>
    </cfRule>
  </conditionalFormatting>
  <conditionalFormatting sqref="D4 C8 C10">
    <cfRule type="cellIs" dxfId="91" priority="110" stopIfTrue="1" operator="lessThan">
      <formula>0</formula>
    </cfRule>
  </conditionalFormatting>
  <conditionalFormatting sqref="D12:D14">
    <cfRule type="cellIs" dxfId="90" priority="79" stopIfTrue="1" operator="lessThan">
      <formula>0</formula>
    </cfRule>
    <cfRule type="cellIs" dxfId="89" priority="78" stopIfTrue="1" operator="equal">
      <formula>"Fail"</formula>
    </cfRule>
    <cfRule type="cellIs" dxfId="88" priority="77" stopIfTrue="1" operator="equal">
      <formula>"Pass"</formula>
    </cfRule>
  </conditionalFormatting>
  <conditionalFormatting sqref="D84">
    <cfRule type="cellIs" dxfId="87" priority="58" stopIfTrue="1" operator="equal">
      <formula>"Pass"</formula>
    </cfRule>
    <cfRule type="cellIs" dxfId="86" priority="59" stopIfTrue="1" operator="equal">
      <formula>"Fail"</formula>
    </cfRule>
    <cfRule type="cellIs" dxfId="85" priority="60" stopIfTrue="1" operator="lessThan">
      <formula>0</formula>
    </cfRule>
  </conditionalFormatting>
  <conditionalFormatting sqref="D46:E46">
    <cfRule type="cellIs" dxfId="84" priority="47" stopIfTrue="1" operator="equal">
      <formula>"Pass"</formula>
    </cfRule>
    <cfRule type="cellIs" dxfId="83" priority="48" stopIfTrue="1" operator="equal">
      <formula>"Fail"</formula>
    </cfRule>
  </conditionalFormatting>
  <conditionalFormatting sqref="D51:E51 D54 D55:H61 M55:M61 D38:M38">
    <cfRule type="cellIs" dxfId="82" priority="55" stopIfTrue="1" operator="equal">
      <formula>"Fail"</formula>
    </cfRule>
  </conditionalFormatting>
  <conditionalFormatting sqref="D65:H65">
    <cfRule type="cellIs" dxfId="81" priority="166" stopIfTrue="1" operator="lessThan">
      <formula>0</formula>
    </cfRule>
  </conditionalFormatting>
  <conditionalFormatting sqref="D5:J7 K7:M7 E12:M14 D16:J35">
    <cfRule type="cellIs" dxfId="80" priority="205" stopIfTrue="1" operator="equal">
      <formula>"Fail"</formula>
    </cfRule>
  </conditionalFormatting>
  <conditionalFormatting sqref="D16:J35 D5:J7 E12:M14 D10:M11 D85:M87 D88:H88 J88:M88 D89:M1048576 D8:M8 B9:M9 K7:M7">
    <cfRule type="cellIs" dxfId="79" priority="204" stopIfTrue="1" operator="equal">
      <formula>"Pass"</formula>
    </cfRule>
  </conditionalFormatting>
  <conditionalFormatting sqref="D17:J19">
    <cfRule type="cellIs" dxfId="78" priority="188" stopIfTrue="1" operator="lessThan">
      <formula>0</formula>
    </cfRule>
    <cfRule type="cellIs" dxfId="77" priority="187" stopIfTrue="1" operator="equal">
      <formula>"Fail"</formula>
    </cfRule>
    <cfRule type="cellIs" dxfId="76" priority="186" stopIfTrue="1" operator="equal">
      <formula>"Pass"</formula>
    </cfRule>
  </conditionalFormatting>
  <conditionalFormatting sqref="D23:J26">
    <cfRule type="cellIs" dxfId="75" priority="185" stopIfTrue="1" operator="lessThan">
      <formula>0</formula>
    </cfRule>
  </conditionalFormatting>
  <conditionalFormatting sqref="D23:J35">
    <cfRule type="cellIs" dxfId="74" priority="168" stopIfTrue="1" operator="equal">
      <formula>"Fail"</formula>
    </cfRule>
    <cfRule type="cellIs" dxfId="73" priority="167" stopIfTrue="1" operator="equal">
      <formula>"Pass"</formula>
    </cfRule>
  </conditionalFormatting>
  <conditionalFormatting sqref="D28:J33 D35:J35">
    <cfRule type="cellIs" dxfId="72" priority="182" stopIfTrue="1" operator="lessThan">
      <formula>0</formula>
    </cfRule>
  </conditionalFormatting>
  <conditionalFormatting sqref="D65:J69">
    <cfRule type="cellIs" dxfId="71" priority="165" stopIfTrue="1" operator="equal">
      <formula>"Fail"</formula>
    </cfRule>
    <cfRule type="cellIs" dxfId="70" priority="164" stopIfTrue="1" operator="equal">
      <formula>"Pass"</formula>
    </cfRule>
  </conditionalFormatting>
  <conditionalFormatting sqref="D79:J79 C36:M37 A78:M78 A79:B1048576 D80:M81 D82:J83">
    <cfRule type="cellIs" dxfId="69" priority="61" stopIfTrue="1" operator="equal">
      <formula>"Pass"</formula>
    </cfRule>
  </conditionalFormatting>
  <conditionalFormatting sqref="D76:L76 D77:M77">
    <cfRule type="cellIs" dxfId="68" priority="17" stopIfTrue="1" operator="equal">
      <formula>"Fail"</formula>
    </cfRule>
  </conditionalFormatting>
  <conditionalFormatting sqref="D8:M8">
    <cfRule type="cellIs" dxfId="67" priority="7" stopIfTrue="1" operator="equal">
      <formula>"Fail"</formula>
    </cfRule>
    <cfRule type="cellIs" dxfId="66" priority="9" stopIfTrue="1" operator="equal">
      <formula>"Fail"</formula>
    </cfRule>
  </conditionalFormatting>
  <conditionalFormatting sqref="D38:M38">
    <cfRule type="cellIs" dxfId="65" priority="51" stopIfTrue="1" operator="equal">
      <formula>"Pass"</formula>
    </cfRule>
  </conditionalFormatting>
  <conditionalFormatting sqref="D39:M41">
    <cfRule type="cellIs" dxfId="64" priority="22" stopIfTrue="1" operator="equal">
      <formula>"Pass"</formula>
    </cfRule>
    <cfRule type="cellIs" dxfId="63" priority="23" stopIfTrue="1" operator="equal">
      <formula>"Fail"</formula>
    </cfRule>
    <cfRule type="cellIs" dxfId="62" priority="24" stopIfTrue="1" operator="lessThan">
      <formula>0</formula>
    </cfRule>
  </conditionalFormatting>
  <conditionalFormatting sqref="D43:M43">
    <cfRule type="cellIs" dxfId="61" priority="31" stopIfTrue="1" operator="equal">
      <formula>"Pass"</formula>
    </cfRule>
    <cfRule type="cellIs" dxfId="60" priority="32" stopIfTrue="1" operator="equal">
      <formula>"Fail"</formula>
    </cfRule>
  </conditionalFormatting>
  <conditionalFormatting sqref="D44:M44">
    <cfRule type="cellIs" dxfId="59" priority="30" stopIfTrue="1" operator="lessThan">
      <formula>0</formula>
    </cfRule>
    <cfRule type="cellIs" dxfId="58" priority="28" stopIfTrue="1" operator="equal">
      <formula>"Pass"</formula>
    </cfRule>
    <cfRule type="cellIs" dxfId="57" priority="29" stopIfTrue="1" operator="equal">
      <formula>"Fail"</formula>
    </cfRule>
  </conditionalFormatting>
  <conditionalFormatting sqref="D49:M49">
    <cfRule type="cellIs" dxfId="56" priority="25" stopIfTrue="1" operator="equal">
      <formula>"Pass"</formula>
    </cfRule>
    <cfRule type="cellIs" dxfId="55" priority="26" stopIfTrue="1" operator="equal">
      <formula>"Fail"</formula>
    </cfRule>
    <cfRule type="cellIs" dxfId="54" priority="27" stopIfTrue="1" operator="lessThan">
      <formula>0</formula>
    </cfRule>
  </conditionalFormatting>
  <conditionalFormatting sqref="D50:M50">
    <cfRule type="cellIs" dxfId="53" priority="43" stopIfTrue="1" operator="equal">
      <formula>"Pass"</formula>
    </cfRule>
    <cfRule type="cellIs" dxfId="52" priority="44" stopIfTrue="1" operator="equal">
      <formula>"Fail"</formula>
    </cfRule>
  </conditionalFormatting>
  <conditionalFormatting sqref="D77:M77 D76:L76">
    <cfRule type="cellIs" dxfId="51" priority="16" stopIfTrue="1" operator="equal">
      <formula>"Pass"</formula>
    </cfRule>
  </conditionalFormatting>
  <conditionalFormatting sqref="E84">
    <cfRule type="cellIs" dxfId="50" priority="63" stopIfTrue="1" operator="equal">
      <formula>"Pass"</formula>
    </cfRule>
    <cfRule type="cellIs" dxfId="49" priority="64" stopIfTrue="1" operator="equal">
      <formula>"Fail"</formula>
    </cfRule>
  </conditionalFormatting>
  <conditionalFormatting sqref="E5:M5">
    <cfRule type="cellIs" dxfId="48" priority="106" stopIfTrue="1" operator="equal">
      <formula>"Pass"</formula>
    </cfRule>
    <cfRule type="cellIs" dxfId="47" priority="117" stopIfTrue="1" operator="equal">
      <formula>"Fail"</formula>
    </cfRule>
  </conditionalFormatting>
  <conditionalFormatting sqref="H8:I8">
    <cfRule type="cellIs" dxfId="46" priority="6" stopIfTrue="1" operator="lessThan">
      <formula>0</formula>
    </cfRule>
  </conditionalFormatting>
  <conditionalFormatting sqref="I5:J7 I12:J14 I16:J35">
    <cfRule type="cellIs" dxfId="45" priority="120" stopIfTrue="1" operator="lessThan">
      <formula>0</formula>
    </cfRule>
  </conditionalFormatting>
  <conditionalFormatting sqref="I42:J43 I38:J38 I45:J45">
    <cfRule type="cellIs" dxfId="44" priority="34" stopIfTrue="1" operator="lessThan">
      <formula>0</formula>
    </cfRule>
  </conditionalFormatting>
  <conditionalFormatting sqref="I64:J70 K65:K69 K70:M70">
    <cfRule type="cellIs" dxfId="43" priority="252" stopIfTrue="1" operator="equal">
      <formula>"Fail"</formula>
    </cfRule>
    <cfRule type="cellIs" dxfId="42" priority="251" stopIfTrue="1" operator="equal">
      <formula>"Pass"</formula>
    </cfRule>
  </conditionalFormatting>
  <conditionalFormatting sqref="I65:K65">
    <cfRule type="cellIs" dxfId="41" priority="226" stopIfTrue="1" operator="lessThan">
      <formula>0</formula>
    </cfRule>
  </conditionalFormatting>
  <conditionalFormatting sqref="I27:M27">
    <cfRule type="cellIs" dxfId="40" priority="203" stopIfTrue="1" operator="equal">
      <formula>"Fail"</formula>
    </cfRule>
    <cfRule type="cellIs" dxfId="39" priority="202" stopIfTrue="1" operator="equal">
      <formula>"Pass"</formula>
    </cfRule>
  </conditionalFormatting>
  <conditionalFormatting sqref="I50:M50">
    <cfRule type="cellIs" dxfId="38" priority="46" stopIfTrue="1" operator="equal">
      <formula>"Fail"</formula>
    </cfRule>
    <cfRule type="cellIs" dxfId="37" priority="45" stopIfTrue="1" operator="equal">
      <formula>"Pass"</formula>
    </cfRule>
  </conditionalFormatting>
  <conditionalFormatting sqref="I65:M65">
    <cfRule type="cellIs" dxfId="36" priority="224" stopIfTrue="1" operator="equal">
      <formula>"Pass"</formula>
    </cfRule>
    <cfRule type="cellIs" dxfId="35" priority="225" stopIfTrue="1" operator="equal">
      <formula>"Fail"</formula>
    </cfRule>
  </conditionalFormatting>
  <conditionalFormatting sqref="I66:M68 I69:L69 K6:M7 D7:J7 E12:M14 K20:M22">
    <cfRule type="cellIs" dxfId="34" priority="264" stopIfTrue="1" operator="equal">
      <formula>"Pass"</formula>
    </cfRule>
  </conditionalFormatting>
  <conditionalFormatting sqref="I71:M71">
    <cfRule type="cellIs" dxfId="33" priority="93" stopIfTrue="1" operator="equal">
      <formula>"Fail"</formula>
    </cfRule>
    <cfRule type="cellIs" dxfId="32" priority="92" stopIfTrue="1" operator="equal">
      <formula>"Pass"</formula>
    </cfRule>
  </conditionalFormatting>
  <conditionalFormatting sqref="I72:M75 I82:M83">
    <cfRule type="cellIs" dxfId="31" priority="207" stopIfTrue="1" operator="equal">
      <formula>"Fail"</formula>
    </cfRule>
    <cfRule type="cellIs" dxfId="30" priority="206" stopIfTrue="1" operator="equal">
      <formula>"Pass"</formula>
    </cfRule>
  </conditionalFormatting>
  <conditionalFormatting sqref="I79:M79">
    <cfRule type="cellIs" dxfId="29" priority="18" stopIfTrue="1" operator="equal">
      <formula>"Pass"</formula>
    </cfRule>
    <cfRule type="cellIs" dxfId="28" priority="19" stopIfTrue="1" operator="equal">
      <formula>"Fail"</formula>
    </cfRule>
  </conditionalFormatting>
  <conditionalFormatting sqref="J73">
    <cfRule type="cellIs" dxfId="27" priority="157" stopIfTrue="1" operator="lessThan">
      <formula>0</formula>
    </cfRule>
  </conditionalFormatting>
  <conditionalFormatting sqref="K55:K61">
    <cfRule type="cellIs" dxfId="26" priority="49" stopIfTrue="1" operator="equal">
      <formula>"Pass"</formula>
    </cfRule>
    <cfRule type="cellIs" dxfId="25" priority="50" stopIfTrue="1" operator="equal">
      <formula>"Fail"</formula>
    </cfRule>
  </conditionalFormatting>
  <conditionalFormatting sqref="K6:M7 D7:J7 E12:M14 K20:M22 I66:M68 I69:L69">
    <cfRule type="cellIs" dxfId="24" priority="265" stopIfTrue="1" operator="equal">
      <formula>"Fail"</formula>
    </cfRule>
  </conditionalFormatting>
  <conditionalFormatting sqref="K17:M18">
    <cfRule type="cellIs" dxfId="23" priority="91" stopIfTrue="1" operator="lessThan">
      <formula>0</formula>
    </cfRule>
    <cfRule type="cellIs" dxfId="22" priority="90" stopIfTrue="1" operator="equal">
      <formula>"Fail"</formula>
    </cfRule>
    <cfRule type="cellIs" dxfId="21" priority="89" stopIfTrue="1" operator="equal">
      <formula>"Pass"</formula>
    </cfRule>
  </conditionalFormatting>
  <conditionalFormatting sqref="K23:M26">
    <cfRule type="cellIs" dxfId="20" priority="88" stopIfTrue="1" operator="lessThan">
      <formula>0</formula>
    </cfRule>
    <cfRule type="cellIs" dxfId="19" priority="86" stopIfTrue="1" operator="equal">
      <formula>"Pass"</formula>
    </cfRule>
    <cfRule type="cellIs" dxfId="18" priority="87" stopIfTrue="1" operator="equal">
      <formula>"Fail"</formula>
    </cfRule>
  </conditionalFormatting>
  <conditionalFormatting sqref="K28:M35">
    <cfRule type="cellIs" dxfId="17" priority="85" stopIfTrue="1" operator="lessThan">
      <formula>0</formula>
    </cfRule>
    <cfRule type="cellIs" dxfId="16" priority="84" stopIfTrue="1" operator="equal">
      <formula>"Fail"</formula>
    </cfRule>
    <cfRule type="cellIs" dxfId="15" priority="83" stopIfTrue="1" operator="equal">
      <formula>"Pass"</formula>
    </cfRule>
  </conditionalFormatting>
  <conditionalFormatting sqref="L27:M27">
    <cfRule type="cellIs" dxfId="14" priority="262" stopIfTrue="1" operator="equal">
      <formula>"Pass"</formula>
    </cfRule>
    <cfRule type="cellIs" dxfId="13" priority="263" stopIfTrue="1" operator="equal">
      <formula>"Fail"</formula>
    </cfRule>
  </conditionalFormatting>
  <conditionalFormatting sqref="L50:M50">
    <cfRule type="cellIs" dxfId="12" priority="52" stopIfTrue="1" operator="equal">
      <formula>"Pass"</formula>
    </cfRule>
    <cfRule type="cellIs" dxfId="11" priority="53" stopIfTrue="1" operator="equal">
      <formula>"Fail"</formula>
    </cfRule>
  </conditionalFormatting>
  <conditionalFormatting sqref="M55:M57">
    <cfRule type="cellIs" dxfId="10" priority="42" stopIfTrue="1" operator="lessThan">
      <formula>0</formula>
    </cfRule>
    <cfRule type="cellIs" dxfId="9" priority="41" stopIfTrue="1" operator="equal">
      <formula>"Fail"</formula>
    </cfRule>
    <cfRule type="cellIs" dxfId="8" priority="40" stopIfTrue="1" operator="equal">
      <formula>"Pass"</formula>
    </cfRule>
  </conditionalFormatting>
  <conditionalFormatting sqref="M55:M61 D51:E51 D54 D55:H61">
    <cfRule type="cellIs" dxfId="7" priority="54" stopIfTrue="1" operator="equal">
      <formula>"Pass"</formula>
    </cfRule>
  </conditionalFormatting>
  <conditionalFormatting sqref="M55:M61">
    <cfRule type="cellIs" dxfId="6" priority="35" stopIfTrue="1" operator="equal">
      <formula>"Pass"</formula>
    </cfRule>
    <cfRule type="cellIs" dxfId="5" priority="36" stopIfTrue="1" operator="equal">
      <formula>"Fail"</formula>
    </cfRule>
  </conditionalFormatting>
  <conditionalFormatting sqref="M59:M61">
    <cfRule type="cellIs" dxfId="4" priority="37" stopIfTrue="1" operator="equal">
      <formula>"Pass"</formula>
    </cfRule>
    <cfRule type="cellIs" dxfId="3" priority="38" stopIfTrue="1" operator="equal">
      <formula>"Fail"</formula>
    </cfRule>
    <cfRule type="cellIs" dxfId="2" priority="39" stopIfTrue="1" operator="lessThan">
      <formula>0</formula>
    </cfRule>
  </conditionalFormatting>
  <conditionalFormatting sqref="M73">
    <cfRule type="cellIs" dxfId="1" priority="220" stopIfTrue="1" operator="lessThan">
      <formula>0</formula>
    </cfRule>
  </conditionalFormatting>
  <conditionalFormatting sqref="M76:M77">
    <cfRule type="expression" dxfId="0" priority="3">
      <formula>$C$8="Bank Solo"</formula>
    </cfRule>
  </conditionalFormatting>
  <dataValidations count="3">
    <dataValidation type="list" operator="notBetween" allowBlank="1" showInputMessage="1" showErrorMessage="1" sqref="D12" xr:uid="{DD85AD97-A50B-45FD-BB47-4CF28B09376F}">
      <formula1>"1,0"</formula1>
    </dataValidation>
    <dataValidation operator="notBetween" allowBlank="1" showInputMessage="1" showErrorMessage="1" sqref="D13:D15" xr:uid="{9551D630-B652-458A-9E9F-BD35A4A66E18}"/>
    <dataValidation type="list" allowBlank="1" showInputMessage="1" showErrorMessage="1" sqref="C8" xr:uid="{D1491898-5E8E-4684-AFA1-0ADFE74355A3}">
      <formula1>"Bank Solo, Bank Consolidated, Group"</formula1>
    </dataValidation>
  </dataValidations>
  <pageMargins left="0.39370078740157483" right="0.39370078740157483" top="0.39370078740157483" bottom="0.39370078740157483" header="0.19685039370078741" footer="0.19685039370078741"/>
  <pageSetup paperSize="9" scale="52" fitToHeight="10" orientation="landscape" verticalDpi="1200" r:id="rId1"/>
  <headerFooter>
    <oddFooter>&amp;LOperational risk: Regulatory Capital BA Return&amp;R&amp;P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C875-9F61-4D81-92A0-78F69B66A373}">
  <dimension ref="C1:F11"/>
  <sheetViews>
    <sheetView workbookViewId="0">
      <selection activeCell="D11" sqref="D11"/>
    </sheetView>
  </sheetViews>
  <sheetFormatPr defaultRowHeight="14.5" x14ac:dyDescent="0.35"/>
  <cols>
    <col min="3" max="5" width="28.90625" customWidth="1"/>
  </cols>
  <sheetData>
    <row r="1" spans="3:6" ht="15" thickBot="1" x14ac:dyDescent="0.4"/>
    <row r="2" spans="3:6" ht="31" customHeight="1" thickBot="1" x14ac:dyDescent="0.4">
      <c r="C2" s="149" t="s">
        <v>35</v>
      </c>
      <c r="D2" s="150"/>
      <c r="E2" s="151"/>
    </row>
    <row r="3" spans="3:6" ht="16" thickBot="1" x14ac:dyDescent="0.4">
      <c r="C3" s="49" t="s">
        <v>24</v>
      </c>
      <c r="D3" s="50" t="s">
        <v>34</v>
      </c>
      <c r="E3" s="50" t="s">
        <v>33</v>
      </c>
    </row>
    <row r="4" spans="3:6" ht="16" thickBot="1" x14ac:dyDescent="0.4">
      <c r="C4" s="49">
        <v>1</v>
      </c>
      <c r="D4" s="48" t="s">
        <v>40</v>
      </c>
      <c r="E4" s="47">
        <v>0.12</v>
      </c>
    </row>
    <row r="5" spans="3:6" ht="16" thickBot="1" x14ac:dyDescent="0.4">
      <c r="C5" s="49">
        <v>2</v>
      </c>
      <c r="D5" s="48" t="s">
        <v>41</v>
      </c>
      <c r="E5" s="47">
        <v>0.15</v>
      </c>
    </row>
    <row r="6" spans="3:6" ht="16" thickBot="1" x14ac:dyDescent="0.4">
      <c r="C6" s="49">
        <v>3</v>
      </c>
      <c r="D6" s="48" t="s">
        <v>42</v>
      </c>
      <c r="E6" s="47">
        <v>0.18</v>
      </c>
    </row>
    <row r="9" spans="3:6" ht="16" thickBot="1" x14ac:dyDescent="0.4">
      <c r="C9" s="45">
        <v>0.12</v>
      </c>
      <c r="D9" s="44">
        <v>5000000000</v>
      </c>
      <c r="E9" s="46">
        <f>C9*D9</f>
        <v>600000000</v>
      </c>
      <c r="F9" s="42" t="s">
        <v>43</v>
      </c>
    </row>
    <row r="10" spans="3:6" ht="16.5" thickTop="1" thickBot="1" x14ac:dyDescent="0.4">
      <c r="C10" s="45">
        <v>0.15</v>
      </c>
      <c r="D10" s="44">
        <f>150000000000-D9</f>
        <v>145000000000</v>
      </c>
      <c r="E10" s="43">
        <f>E9+ (C10*D10)</f>
        <v>22350000000</v>
      </c>
      <c r="F10" s="42" t="s">
        <v>44</v>
      </c>
    </row>
    <row r="11" spans="3:6" ht="15" thickTop="1" x14ac:dyDescent="0.35"/>
  </sheetData>
  <mergeCells count="1">
    <mergeCell ref="C2:E2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70c52299-74de-4dfd-b117-c9c408edfa50}" enabled="1" method="Standard" siteId="{853cbaab-a620-4178-8933-88d7641418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 400</vt:lpstr>
      <vt:lpstr>Calculations</vt:lpstr>
      <vt:lpstr>'BA 400'!Print_Area</vt:lpstr>
      <vt:lpstr>'BA 400'!Print_Titles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Magagula, T. (Tibusiso) (Group Risk)</dc:creator>
  <cp:lastModifiedBy>Itumeleng Ledwaba</cp:lastModifiedBy>
  <cp:lastPrinted>2021-09-09T16:08:51Z</cp:lastPrinted>
  <dcterms:created xsi:type="dcterms:W3CDTF">2021-09-09T14:35:32Z</dcterms:created>
  <dcterms:modified xsi:type="dcterms:W3CDTF">2024-11-21T06:41:58Z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3ff2d6-7c2c-441b-97b8-52c111077da7_Enabled">
    <vt:lpwstr>true</vt:lpwstr>
  </property>
  <property fmtid="{D5CDD505-2E9C-101B-9397-08002B2CF9AE}" pid="3" name="MSIP_Label_fb3ff2d6-7c2c-441b-97b8-52c111077da7_SetDate">
    <vt:lpwstr>2021-09-09T14:35:33Z</vt:lpwstr>
  </property>
  <property fmtid="{D5CDD505-2E9C-101B-9397-08002B2CF9AE}" pid="4" name="MSIP_Label_fb3ff2d6-7c2c-441b-97b8-52c111077da7_Method">
    <vt:lpwstr>Standard</vt:lpwstr>
  </property>
  <property fmtid="{D5CDD505-2E9C-101B-9397-08002B2CF9AE}" pid="5" name="MSIP_Label_fb3ff2d6-7c2c-441b-97b8-52c111077da7_Name">
    <vt:lpwstr>fb3ff2d6-7c2c-441b-97b8-52c111077da7</vt:lpwstr>
  </property>
  <property fmtid="{D5CDD505-2E9C-101B-9397-08002B2CF9AE}" pid="6" name="MSIP_Label_fb3ff2d6-7c2c-441b-97b8-52c111077da7_SiteId">
    <vt:lpwstr>0b1d23d8-10d1-4093-8cb7-fd0bb32f81e1</vt:lpwstr>
  </property>
  <property fmtid="{D5CDD505-2E9C-101B-9397-08002B2CF9AE}" pid="7" name="MSIP_Label_fb3ff2d6-7c2c-441b-97b8-52c111077da7_ActionId">
    <vt:lpwstr>43d75d29-9783-416d-a78c-b054a1ff9b34</vt:lpwstr>
  </property>
  <property fmtid="{D5CDD505-2E9C-101B-9397-08002B2CF9AE}" pid="8" name="MSIP_Label_fb3ff2d6-7c2c-441b-97b8-52c111077da7_ContentBits">
    <vt:lpwstr>0</vt:lpwstr>
  </property>
  <property fmtid="{D5CDD505-2E9C-101B-9397-08002B2CF9AE}" pid="9" name="MSIP_Label_70c52299-74de-4dfd-b117-c9c408edfa50_Enabled">
    <vt:lpwstr>true</vt:lpwstr>
  </property>
  <property fmtid="{D5CDD505-2E9C-101B-9397-08002B2CF9AE}" pid="10" name="MSIP_Label_70c52299-74de-4dfd-b117-c9c408edfa50_SetDate">
    <vt:lpwstr>2021-10-15T11:44:09Z</vt:lpwstr>
  </property>
  <property fmtid="{D5CDD505-2E9C-101B-9397-08002B2CF9AE}" pid="11" name="MSIP_Label_70c52299-74de-4dfd-b117-c9c408edfa50_Method">
    <vt:lpwstr>Standard</vt:lpwstr>
  </property>
  <property fmtid="{D5CDD505-2E9C-101B-9397-08002B2CF9AE}" pid="12" name="MSIP_Label_70c52299-74de-4dfd-b117-c9c408edfa50_Name">
    <vt:lpwstr>Restricted</vt:lpwstr>
  </property>
  <property fmtid="{D5CDD505-2E9C-101B-9397-08002B2CF9AE}" pid="13" name="MSIP_Label_70c52299-74de-4dfd-b117-c9c408edfa50_SiteId">
    <vt:lpwstr>853cbaab-a620-4178-8933-88d76414184a</vt:lpwstr>
  </property>
  <property fmtid="{D5CDD505-2E9C-101B-9397-08002B2CF9AE}" pid="14" name="MSIP_Label_70c52299-74de-4dfd-b117-c9c408edfa50_ActionId">
    <vt:lpwstr>7b2cab59-224f-4948-bc0b-d65b631022a0</vt:lpwstr>
  </property>
  <property fmtid="{D5CDD505-2E9C-101B-9397-08002B2CF9AE}" pid="15" name="MSIP_Label_70c52299-74de-4dfd-b117-c9c408edfa50_ContentBits">
    <vt:lpwstr>0</vt:lpwstr>
  </property>
</Properties>
</file>