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bank-my.sharepoint.com/personal/itumeleng_makheme_resbank_co_za/Documents/PA/NSA/"/>
    </mc:Choice>
  </mc:AlternateContent>
  <xr:revisionPtr revIDLastSave="1" documentId="8_{5CA6BB93-9225-4754-BBAB-CCE2FF47BF56}" xr6:coauthVersionLast="47" xr6:coauthVersionMax="47" xr10:uidLastSave="{FF09B20A-ED38-4277-8A51-8D93479E1010}"/>
  <bookViews>
    <workbookView xWindow="28680" yWindow="-120" windowWidth="29040" windowHeight="15840" xr2:uid="{6D41C7AB-CF78-48E6-8452-816C4A213045}"/>
  </bookViews>
  <sheets>
    <sheet name="BA 400" sheetId="4" r:id="rId1"/>
    <sheet name="Calculations" sheetId="5" state="hidden" r:id="rId2"/>
  </sheets>
  <definedNames>
    <definedName name="_xlnm.Print_Area" localSheetId="0">'BA 400'!$A:$N</definedName>
    <definedName name="_xlnm.Print_Titles" localSheetId="0">'BA 400'!$6:$7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4" l="1"/>
  <c r="M63" i="4"/>
  <c r="D10" i="5"/>
  <c r="E10" i="5"/>
  <c r="E9" i="5"/>
  <c r="C75" i="4"/>
  <c r="K16" i="4"/>
  <c r="C11" i="4"/>
  <c r="C12" i="4" s="1"/>
  <c r="D47" i="4"/>
  <c r="D42" i="4"/>
  <c r="D37" i="4"/>
  <c r="M55" i="4"/>
  <c r="M54" i="4"/>
  <c r="M52" i="4"/>
  <c r="M51" i="4"/>
  <c r="M50" i="4"/>
  <c r="M38" i="4" l="1"/>
  <c r="M37" i="4"/>
  <c r="M61" i="4" l="1" a="1"/>
  <c r="M61" i="4" s="1"/>
  <c r="M60" i="4" a="1"/>
  <c r="M60" i="4" s="1"/>
  <c r="B48" i="4"/>
  <c r="B47" i="4"/>
  <c r="B43" i="4"/>
  <c r="B42" i="4"/>
  <c r="D40" i="4" l="1"/>
  <c r="E40" i="4"/>
  <c r="F40" i="4"/>
  <c r="G40" i="4"/>
  <c r="H40" i="4"/>
  <c r="I40" i="4"/>
  <c r="J40" i="4"/>
  <c r="K40" i="4"/>
  <c r="L40" i="4"/>
  <c r="M40" i="4"/>
  <c r="B40" i="4"/>
  <c r="E37" i="4"/>
  <c r="F37" i="4"/>
  <c r="G37" i="4"/>
  <c r="H37" i="4"/>
  <c r="I37" i="4"/>
  <c r="J37" i="4"/>
  <c r="K37" i="4"/>
  <c r="L37" i="4"/>
  <c r="B37" i="4"/>
  <c r="M16" i="4"/>
  <c r="K13" i="4"/>
  <c r="L13" i="4"/>
  <c r="M13" i="4"/>
  <c r="B13" i="4"/>
  <c r="M45" i="4" l="1"/>
  <c r="L38" i="4"/>
  <c r="L45" i="4" s="1"/>
  <c r="K38" i="4"/>
  <c r="J38" i="4"/>
  <c r="J45" i="4" s="1"/>
  <c r="I38" i="4"/>
  <c r="I45" i="4" s="1"/>
  <c r="H38" i="4"/>
  <c r="H45" i="4" s="1"/>
  <c r="G38" i="4"/>
  <c r="G45" i="4" s="1"/>
  <c r="F38" i="4"/>
  <c r="F45" i="4" s="1"/>
  <c r="E38" i="4"/>
  <c r="E45" i="4" s="1"/>
  <c r="D38" i="4"/>
  <c r="M21" i="4"/>
  <c r="L21" i="4"/>
  <c r="K21" i="4"/>
  <c r="L16" i="4"/>
  <c r="E7" i="4"/>
  <c r="F7" i="4" s="1"/>
  <c r="G7" i="4" s="1"/>
  <c r="H7" i="4" s="1"/>
  <c r="I7" i="4" s="1"/>
  <c r="J7" i="4" s="1"/>
  <c r="K7" i="4" s="1"/>
  <c r="L7" i="4" s="1"/>
  <c r="M7" i="4" s="1"/>
  <c r="D43" i="4" l="1"/>
  <c r="M59" i="4" a="1"/>
  <c r="M59" i="4" s="1"/>
  <c r="M62" i="4" s="1"/>
  <c r="M67" i="4" a="1"/>
  <c r="M67" i="4" s="1"/>
  <c r="M53" i="4"/>
  <c r="K45" i="4"/>
  <c r="C13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4" i="4" s="1"/>
  <c r="C35" i="4" s="1"/>
  <c r="C36" i="4" s="1"/>
  <c r="D45" i="4"/>
  <c r="D48" i="4" l="1"/>
  <c r="M66" i="4"/>
  <c r="O65" i="4" s="1"/>
  <c r="M68" i="4"/>
  <c r="M56" i="4"/>
  <c r="C37" i="4"/>
  <c r="C38" i="4" s="1"/>
  <c r="C39" i="4" s="1"/>
  <c r="M72" i="4" l="1"/>
  <c r="M74" i="4" s="1"/>
  <c r="M71" i="4"/>
  <c r="M73" i="4" s="1"/>
  <c r="C40" i="4"/>
  <c r="C41" i="4" s="1"/>
  <c r="C42" i="4" s="1"/>
  <c r="C43" i="4" s="1"/>
  <c r="C44" i="4" s="1"/>
  <c r="C45" i="4" s="1"/>
  <c r="C46" i="4" s="1"/>
  <c r="C47" i="4" l="1"/>
  <c r="C48" i="4" s="1"/>
  <c r="C50" i="4" s="1"/>
  <c r="C51" i="4" s="1"/>
  <c r="C52" i="4" s="1"/>
  <c r="C53" i="4" s="1"/>
  <c r="C54" i="4" s="1"/>
  <c r="C55" i="4" s="1"/>
  <c r="C56" i="4" s="1"/>
  <c r="C59" i="4" s="1"/>
  <c r="C60" i="4" s="1"/>
  <c r="C61" i="4" s="1"/>
  <c r="C62" i="4" s="1"/>
  <c r="C63" i="4" l="1"/>
  <c r="C64" i="4" s="1"/>
  <c r="C65" i="4" s="1"/>
  <c r="C66" i="4" s="1"/>
  <c r="C67" i="4" s="1"/>
  <c r="C68" i="4" s="1"/>
  <c r="C71" i="4" s="1"/>
  <c r="C72" i="4" s="1"/>
  <c r="C73" i="4" s="1"/>
  <c r="C7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<sst xmlns="http://schemas.openxmlformats.org/spreadsheetml/2006/main" count="79" uniqueCount="67">
  <si>
    <t>Operational Risk: Regulatory Capital BA Return</t>
  </si>
  <si>
    <t>Year-3</t>
  </si>
  <si>
    <t>Year-2</t>
  </si>
  <si>
    <t>Year-1</t>
  </si>
  <si>
    <t>Total assets</t>
  </si>
  <si>
    <t>of which: interest-earning assets (including lease assets)</t>
  </si>
  <si>
    <t>Gross income</t>
  </si>
  <si>
    <t>Interest income of which:</t>
  </si>
  <si>
    <t>Income from financial and operational lease</t>
  </si>
  <si>
    <t>Interest expenses of which:</t>
  </si>
  <si>
    <t>Expenses from financial and operational lease</t>
  </si>
  <si>
    <t>Absolute value of net interest income (including financial and operational lease)</t>
  </si>
  <si>
    <t>Dividend income</t>
  </si>
  <si>
    <t>Fee and commission income</t>
  </si>
  <si>
    <t>Fee and commission expenses</t>
  </si>
  <si>
    <t>Net profit (loss) on financial operations (trading book)</t>
  </si>
  <si>
    <t>Net profit (loss) on financial operations (non-trading book)</t>
  </si>
  <si>
    <t>Other operating income</t>
  </si>
  <si>
    <t>Net adjustments to gross income</t>
  </si>
  <si>
    <t>Other operating expenses</t>
  </si>
  <si>
    <t>Year-10</t>
  </si>
  <si>
    <t>Year-9</t>
  </si>
  <si>
    <t>Year-8</t>
  </si>
  <si>
    <t>Year-7</t>
  </si>
  <si>
    <t>Year-6</t>
  </si>
  <si>
    <t>Year-5</t>
  </si>
  <si>
    <t>Year-4</t>
  </si>
  <si>
    <t>Total amount of gross losses</t>
  </si>
  <si>
    <t>Total amount of loss recoveries</t>
  </si>
  <si>
    <t xml:space="preserve">   of which: insurance recoveries</t>
  </si>
  <si>
    <t>Total amount of net losses</t>
  </si>
  <si>
    <t>Number of loss events contributing to total gross losses</t>
  </si>
  <si>
    <t>Number of loss events in the ten year window</t>
  </si>
  <si>
    <t>Total amount of net losses qualifying for exclusion (per supervisory approval)</t>
  </si>
  <si>
    <t>Total net losses after exclusion of qualifying losses</t>
  </si>
  <si>
    <t>Number of loss events qualifying for exclusion in the ten year window  (per supervisory approval)</t>
  </si>
  <si>
    <t>Interest, leases and dividend component (ILDC)</t>
  </si>
  <si>
    <t>Services  component (SC)</t>
  </si>
  <si>
    <t>Financial  Component (FC)</t>
  </si>
  <si>
    <t>Business Indicator (BI)</t>
  </si>
  <si>
    <t>Bucket</t>
  </si>
  <si>
    <t>BI Component (BIC)</t>
  </si>
  <si>
    <t>BI gross of excluded divested activities  (per supervisory approval)</t>
  </si>
  <si>
    <t>Reduction in BI due to excluded divested activities</t>
  </si>
  <si>
    <t>Loss Component (LC)</t>
  </si>
  <si>
    <t>Internal Loss Multiplier (ILM)</t>
  </si>
  <si>
    <t>Operational Risk Capital</t>
  </si>
  <si>
    <t xml:space="preserve"> With ILM set to 1</t>
  </si>
  <si>
    <t>Operational Risk Weighted Assets</t>
  </si>
  <si>
    <t>Row no</t>
  </si>
  <si>
    <t>Loss events netting ≥ ZAR 350K</t>
  </si>
  <si>
    <t>BI marginal coefficients</t>
  </si>
  <si>
    <t>BI range (R billion)</t>
  </si>
  <si>
    <t>BI ranges and marginal coefficients</t>
  </si>
  <si>
    <t>B) Balance sheet and other items</t>
  </si>
  <si>
    <t>C) Income statement</t>
  </si>
  <si>
    <t>D) Operational risk losses whole bank (according to relevant financial year-end)</t>
  </si>
  <si>
    <t>E) Standardised approach component calculations</t>
  </si>
  <si>
    <t>F) Operational Risk Capital</t>
  </si>
  <si>
    <t>A) ILM  Usage</t>
  </si>
  <si>
    <t>Are losses used to calculate the ILM (0 = No; 1 = Yes)</t>
  </si>
  <si>
    <t>Hashtotal</t>
  </si>
  <si>
    <t>≤ 5</t>
  </si>
  <si>
    <t>5&lt; BI ≤ 150</t>
  </si>
  <si>
    <t>&gt;150</t>
  </si>
  <si>
    <t>is the BIC at the top of bucket 1 (or bottom of bucket 2) -&gt; 0.12 * 5 billion</t>
  </si>
  <si>
    <t>is the BIC at the top of bucket 2 (or bottom of bucket 3) -&gt; 0.12 * 5 billion + 0.15 * (150 billion - 5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</si>
</sst>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0_ ;[Red]\-#,##0.000\ "/>
    <numFmt numFmtId="165" formatCode="#,##0.000000;[Red]\-#,##0.000000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" fontId="6" fillId="3" borderId="5" applyFont="0">
      <alignment horizontal="right" vertical="center"/>
      <protection locked="0"/>
    </xf>
    <xf numFmtId="3" fontId="6" fillId="2" borderId="4" applyFont="0">
      <alignment horizontal="right" vertical="center"/>
    </xf>
    <xf numFmtId="3" fontId="6" fillId="6" borderId="5" applyFont="0">
      <alignment horizontal="right" vertical="center"/>
      <protection locked="0"/>
    </xf>
    <xf numFmtId="0" fontId="6" fillId="7" borderId="4" applyNumberFormat="0" applyFont="0" applyBorder="0">
      <alignment horizontal="center" vertical="center"/>
    </xf>
    <xf numFmtId="0" fontId="14" fillId="0" borderId="0"/>
    <xf numFmtId="43" fontId="15" fillId="0" borderId="0" applyFont="0" applyFill="0" applyBorder="0" applyAlignment="0" applyProtection="0"/>
  </cellStyleXfs>
  <cellXfs count="149">
    <xf numFmtId="0" fontId="0" fillId="0" borderId="0" xfId="0"/>
    <xf numFmtId="38" fontId="2" fillId="2" borderId="0" xfId="0" applyNumberFormat="1" applyFont="1" applyFill="1"/>
    <xf numFmtId="38" fontId="2" fillId="2" borderId="1" xfId="0" applyNumberFormat="1" applyFont="1" applyFill="1" applyBorder="1" applyAlignment="1">
      <alignment horizontal="centerContinuous"/>
    </xf>
    <xf numFmtId="38" fontId="2" fillId="2" borderId="2" xfId="0" applyNumberFormat="1" applyFont="1" applyFill="1" applyBorder="1" applyAlignment="1">
      <alignment horizontal="centerContinuous"/>
    </xf>
    <xf numFmtId="38" fontId="2" fillId="2" borderId="3" xfId="0" applyNumberFormat="1" applyFont="1" applyFill="1" applyBorder="1" applyAlignment="1">
      <alignment horizontal="centerContinuous"/>
    </xf>
    <xf numFmtId="38" fontId="3" fillId="2" borderId="0" xfId="0" applyNumberFormat="1" applyFont="1" applyFill="1" applyAlignment="1">
      <alignment vertical="center"/>
    </xf>
    <xf numFmtId="38" fontId="0" fillId="2" borderId="0" xfId="0" applyNumberFormat="1" applyFill="1"/>
    <xf numFmtId="38" fontId="8" fillId="2" borderId="0" xfId="0" applyNumberFormat="1" applyFont="1" applyFill="1" applyAlignment="1">
      <alignment horizontal="center" wrapText="1"/>
    </xf>
    <xf numFmtId="38" fontId="0" fillId="2" borderId="0" xfId="0" applyNumberFormat="1" applyFill="1" applyAlignment="1">
      <alignment horizontal="center"/>
    </xf>
    <xf numFmtId="38" fontId="8" fillId="4" borderId="4" xfId="1" applyNumberFormat="1" applyFont="1" applyFill="1" applyBorder="1" applyProtection="1">
      <alignment horizontal="right" vertical="center"/>
    </xf>
    <xf numFmtId="38" fontId="9" fillId="2" borderId="1" xfId="0" applyNumberFormat="1" applyFont="1" applyFill="1" applyBorder="1" applyAlignment="1">
      <alignment horizontal="left" vertical="center"/>
    </xf>
    <xf numFmtId="38" fontId="0" fillId="2" borderId="2" xfId="0" applyNumberFormat="1" applyFill="1" applyBorder="1"/>
    <xf numFmtId="38" fontId="5" fillId="2" borderId="2" xfId="0" applyNumberFormat="1" applyFont="1" applyFill="1" applyBorder="1"/>
    <xf numFmtId="38" fontId="5" fillId="2" borderId="3" xfId="0" applyNumberFormat="1" applyFont="1" applyFill="1" applyBorder="1"/>
    <xf numFmtId="38" fontId="3" fillId="2" borderId="1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left" vertical="center"/>
    </xf>
    <xf numFmtId="38" fontId="4" fillId="2" borderId="4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left" vertical="center" indent="1"/>
    </xf>
    <xf numFmtId="38" fontId="0" fillId="2" borderId="10" xfId="0" applyNumberFormat="1" applyFill="1" applyBorder="1"/>
    <xf numFmtId="38" fontId="3" fillId="2" borderId="12" xfId="0" applyNumberFormat="1" applyFont="1" applyFill="1" applyBorder="1" applyAlignment="1">
      <alignment vertical="center"/>
    </xf>
    <xf numFmtId="38" fontId="3" fillId="2" borderId="13" xfId="0" applyNumberFormat="1" applyFont="1" applyFill="1" applyBorder="1" applyAlignment="1">
      <alignment vertical="center"/>
    </xf>
    <xf numFmtId="38" fontId="9" fillId="2" borderId="12" xfId="0" applyNumberFormat="1" applyFont="1" applyFill="1" applyBorder="1" applyAlignment="1">
      <alignment horizontal="left" vertical="center"/>
    </xf>
    <xf numFmtId="38" fontId="3" fillId="2" borderId="0" xfId="0" applyNumberFormat="1" applyFont="1" applyFill="1" applyAlignment="1">
      <alignment horizontal="left" vertical="center"/>
    </xf>
    <xf numFmtId="38" fontId="7" fillId="2" borderId="1" xfId="0" applyNumberFormat="1" applyFont="1" applyFill="1" applyBorder="1" applyAlignment="1">
      <alignment vertical="center"/>
    </xf>
    <xf numFmtId="38" fontId="11" fillId="2" borderId="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horizontal="left" vertical="center"/>
    </xf>
    <xf numFmtId="38" fontId="5" fillId="2" borderId="1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 wrapText="1"/>
    </xf>
    <xf numFmtId="38" fontId="5" fillId="2" borderId="0" xfId="0" applyNumberFormat="1" applyFont="1" applyFill="1" applyAlignment="1" applyProtection="1">
      <alignment horizontal="center"/>
      <protection locked="0"/>
    </xf>
    <xf numFmtId="38" fontId="9" fillId="2" borderId="9" xfId="0" applyNumberFormat="1" applyFont="1" applyFill="1" applyBorder="1" applyAlignment="1">
      <alignment horizontal="left" vertical="center"/>
    </xf>
    <xf numFmtId="38" fontId="3" fillId="2" borderId="10" xfId="0" applyNumberFormat="1" applyFont="1" applyFill="1" applyBorder="1" applyAlignment="1">
      <alignment horizontal="left" vertical="center"/>
    </xf>
    <xf numFmtId="38" fontId="0" fillId="2" borderId="10" xfId="0" applyNumberFormat="1" applyFill="1" applyBorder="1" applyAlignment="1">
      <alignment horizontal="center"/>
    </xf>
    <xf numFmtId="38" fontId="3" fillId="2" borderId="10" xfId="0" applyNumberFormat="1" applyFont="1" applyFill="1" applyBorder="1" applyAlignment="1">
      <alignment vertical="center"/>
    </xf>
    <xf numFmtId="38" fontId="3" fillId="2" borderId="10" xfId="0" quotePrefix="1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left" vertical="center" indent="1"/>
    </xf>
    <xf numFmtId="38" fontId="8" fillId="2" borderId="14" xfId="0" applyNumberFormat="1" applyFont="1" applyFill="1" applyBorder="1" applyAlignment="1">
      <alignment vertical="center"/>
    </xf>
    <xf numFmtId="38" fontId="3" fillId="5" borderId="4" xfId="1" applyNumberFormat="1" applyFont="1" applyFill="1" applyBorder="1">
      <alignment horizontal="right" vertical="center"/>
      <protection locked="0"/>
    </xf>
    <xf numFmtId="38" fontId="2" fillId="2" borderId="0" xfId="0" applyNumberFormat="1" applyFont="1" applyFill="1" applyAlignment="1">
      <alignment horizontal="centerContinuous"/>
    </xf>
    <xf numFmtId="38" fontId="9" fillId="2" borderId="4" xfId="0" applyNumberFormat="1" applyFont="1" applyFill="1" applyBorder="1" applyAlignment="1">
      <alignment horizontal="left" vertical="center"/>
    </xf>
    <xf numFmtId="38" fontId="3" fillId="8" borderId="0" xfId="0" applyNumberFormat="1" applyFont="1" applyFill="1" applyAlignment="1">
      <alignment vertical="center"/>
    </xf>
    <xf numFmtId="38" fontId="4" fillId="2" borderId="0" xfId="0" applyNumberFormat="1" applyFont="1" applyFill="1" applyAlignment="1">
      <alignment horizontal="center"/>
    </xf>
    <xf numFmtId="38" fontId="12" fillId="2" borderId="0" xfId="0" applyNumberFormat="1" applyFont="1" applyFill="1" applyAlignment="1">
      <alignment horizontal="left" vertical="center" indent="1"/>
    </xf>
    <xf numFmtId="38" fontId="4" fillId="2" borderId="1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left" vertical="center" wrapText="1"/>
    </xf>
    <xf numFmtId="38" fontId="5" fillId="2" borderId="13" xfId="0" applyNumberFormat="1" applyFont="1" applyFill="1" applyBorder="1" applyAlignment="1" applyProtection="1">
      <alignment horizontal="center"/>
      <protection locked="0"/>
    </xf>
    <xf numFmtId="38" fontId="12" fillId="2" borderId="2" xfId="0" applyNumberFormat="1" applyFont="1" applyFill="1" applyBorder="1" applyAlignment="1">
      <alignment horizontal="left" vertical="center" indent="1"/>
    </xf>
    <xf numFmtId="38" fontId="12" fillId="2" borderId="3" xfId="0" applyNumberFormat="1" applyFont="1" applyFill="1" applyBorder="1" applyAlignment="1">
      <alignment horizontal="left" vertical="center" indent="1"/>
    </xf>
    <xf numFmtId="0" fontId="13" fillId="0" borderId="4" xfId="0" applyFont="1" applyBorder="1" applyAlignment="1">
      <alignment vertical="center"/>
    </xf>
    <xf numFmtId="38" fontId="3" fillId="10" borderId="0" xfId="0" applyNumberFormat="1" applyFont="1" applyFill="1" applyAlignment="1">
      <alignment vertical="center"/>
    </xf>
    <xf numFmtId="38" fontId="4" fillId="2" borderId="0" xfId="0" applyNumberFormat="1" applyFont="1" applyFill="1" applyAlignment="1">
      <alignment wrapText="1"/>
    </xf>
    <xf numFmtId="38" fontId="3" fillId="2" borderId="0" xfId="1" applyNumberFormat="1" applyFont="1" applyFill="1" applyBorder="1" applyProtection="1">
      <alignment horizontal="right" vertical="center"/>
    </xf>
    <xf numFmtId="38" fontId="3" fillId="2" borderId="0" xfId="1" applyNumberFormat="1" applyFont="1" applyFill="1" applyBorder="1">
      <alignment horizontal="right" vertical="center"/>
      <protection locked="0"/>
    </xf>
    <xf numFmtId="0" fontId="16" fillId="0" borderId="0" xfId="0" applyFont="1"/>
    <xf numFmtId="166" fontId="16" fillId="0" borderId="16" xfId="6" applyNumberFormat="1" applyFont="1" applyFill="1" applyBorder="1" applyAlignment="1">
      <alignment vertical="center" wrapText="1"/>
    </xf>
    <xf numFmtId="166" fontId="16" fillId="0" borderId="0" xfId="6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6" fontId="16" fillId="0" borderId="17" xfId="6" applyNumberFormat="1" applyFont="1" applyFill="1" applyBorder="1" applyAlignment="1">
      <alignment vertical="center" wrapText="1"/>
    </xf>
    <xf numFmtId="9" fontId="16" fillId="0" borderId="18" xfId="0" applyNumberFormat="1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38" fontId="3" fillId="2" borderId="9" xfId="0" applyNumberFormat="1" applyFont="1" applyFill="1" applyBorder="1" applyAlignment="1">
      <alignment vertical="center"/>
    </xf>
    <xf numFmtId="38" fontId="3" fillId="5" borderId="4" xfId="1" applyNumberFormat="1" applyFont="1" applyFill="1" applyBorder="1" applyProtection="1">
      <alignment horizontal="right" vertical="center"/>
    </xf>
    <xf numFmtId="38" fontId="8" fillId="2" borderId="7" xfId="0" applyNumberFormat="1" applyFont="1" applyFill="1" applyBorder="1" applyAlignment="1">
      <alignment vertical="center"/>
    </xf>
    <xf numFmtId="38" fontId="8" fillId="2" borderId="8" xfId="0" applyNumberFormat="1" applyFont="1" applyFill="1" applyBorder="1" applyAlignment="1">
      <alignment vertical="center"/>
    </xf>
    <xf numFmtId="38" fontId="10" fillId="2" borderId="0" xfId="0" applyNumberFormat="1" applyFont="1" applyFill="1" applyAlignment="1">
      <alignment horizontal="left" vertical="center"/>
    </xf>
    <xf numFmtId="38" fontId="3" fillId="11" borderId="3" xfId="0" applyNumberFormat="1" applyFont="1" applyFill="1" applyBorder="1" applyAlignment="1">
      <alignment vertical="center"/>
    </xf>
    <xf numFmtId="38" fontId="0" fillId="4" borderId="0" xfId="0" applyNumberFormat="1" applyFill="1"/>
    <xf numFmtId="38" fontId="0" fillId="4" borderId="6" xfId="0" applyNumberFormat="1" applyFill="1" applyBorder="1"/>
    <xf numFmtId="38" fontId="0" fillId="4" borderId="7" xfId="0" applyNumberFormat="1" applyFill="1" applyBorder="1"/>
    <xf numFmtId="38" fontId="0" fillId="4" borderId="8" xfId="0" applyNumberFormat="1" applyFill="1" applyBorder="1"/>
    <xf numFmtId="38" fontId="0" fillId="4" borderId="12" xfId="0" applyNumberFormat="1" applyFill="1" applyBorder="1"/>
    <xf numFmtId="38" fontId="0" fillId="4" borderId="13" xfId="0" applyNumberFormat="1" applyFill="1" applyBorder="1"/>
    <xf numFmtId="38" fontId="0" fillId="4" borderId="9" xfId="0" applyNumberFormat="1" applyFill="1" applyBorder="1"/>
    <xf numFmtId="38" fontId="0" fillId="4" borderId="10" xfId="0" applyNumberFormat="1" applyFill="1" applyBorder="1"/>
    <xf numFmtId="38" fontId="0" fillId="4" borderId="11" xfId="0" applyNumberFormat="1" applyFill="1" applyBorder="1"/>
    <xf numFmtId="38" fontId="8" fillId="4" borderId="2" xfId="0" applyNumberFormat="1" applyFont="1" applyFill="1" applyBorder="1" applyAlignment="1">
      <alignment vertical="center"/>
    </xf>
    <xf numFmtId="38" fontId="8" fillId="4" borderId="7" xfId="0" applyNumberFormat="1" applyFont="1" applyFill="1" applyBorder="1" applyAlignment="1">
      <alignment vertical="center"/>
    </xf>
    <xf numFmtId="38" fontId="8" fillId="4" borderId="8" xfId="0" applyNumberFormat="1" applyFont="1" applyFill="1" applyBorder="1" applyAlignment="1">
      <alignment vertical="center"/>
    </xf>
    <xf numFmtId="38" fontId="8" fillId="2" borderId="4" xfId="0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 applyProtection="1">
      <alignment horizontal="center"/>
      <protection locked="0"/>
    </xf>
    <xf numFmtId="38" fontId="5" fillId="4" borderId="7" xfId="0" applyNumberFormat="1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38" fontId="5" fillId="4" borderId="12" xfId="0" applyNumberFormat="1" applyFont="1" applyFill="1" applyBorder="1" applyAlignment="1" applyProtection="1">
      <alignment horizontal="center"/>
      <protection locked="0"/>
    </xf>
    <xf numFmtId="38" fontId="5" fillId="4" borderId="0" xfId="0" applyNumberFormat="1" applyFont="1" applyFill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38" fontId="5" fillId="4" borderId="9" xfId="0" applyNumberFormat="1" applyFont="1" applyFill="1" applyBorder="1" applyAlignment="1" applyProtection="1">
      <alignment horizontal="center"/>
      <protection locked="0"/>
    </xf>
    <xf numFmtId="38" fontId="5" fillId="4" borderId="10" xfId="0" applyNumberFormat="1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38" fontId="3" fillId="4" borderId="6" xfId="2" applyNumberFormat="1" applyFont="1" applyFill="1" applyBorder="1" applyAlignment="1">
      <alignment vertical="center"/>
    </xf>
    <xf numFmtId="38" fontId="3" fillId="4" borderId="7" xfId="2" applyNumberFormat="1" applyFont="1" applyFill="1" applyBorder="1" applyAlignment="1">
      <alignment vertical="center"/>
    </xf>
    <xf numFmtId="38" fontId="3" fillId="4" borderId="8" xfId="2" applyNumberFormat="1" applyFont="1" applyFill="1" applyBorder="1" applyAlignment="1">
      <alignment vertical="center"/>
    </xf>
    <xf numFmtId="38" fontId="3" fillId="4" borderId="12" xfId="3" applyNumberFormat="1" applyFont="1" applyFill="1" applyBorder="1" applyAlignment="1" applyProtection="1">
      <alignment vertical="center"/>
    </xf>
    <xf numFmtId="38" fontId="3" fillId="4" borderId="0" xfId="3" applyNumberFormat="1" applyFont="1" applyFill="1" applyBorder="1" applyAlignment="1" applyProtection="1">
      <alignment vertical="center"/>
    </xf>
    <xf numFmtId="38" fontId="3" fillId="4" borderId="13" xfId="2" applyNumberFormat="1" applyFont="1" applyFill="1" applyBorder="1" applyAlignment="1">
      <alignment vertical="center"/>
    </xf>
    <xf numFmtId="164" fontId="3" fillId="4" borderId="12" xfId="3" applyNumberFormat="1" applyFont="1" applyFill="1" applyBorder="1" applyAlignment="1" applyProtection="1">
      <alignment vertical="center"/>
    </xf>
    <xf numFmtId="164" fontId="3" fillId="4" borderId="0" xfId="3" applyNumberFormat="1" applyFont="1" applyFill="1" applyBorder="1" applyAlignment="1" applyProtection="1">
      <alignment vertical="center"/>
    </xf>
    <xf numFmtId="38" fontId="3" fillId="4" borderId="13" xfId="3" applyNumberFormat="1" applyFont="1" applyFill="1" applyBorder="1" applyAlignment="1" applyProtection="1">
      <alignment vertical="center"/>
    </xf>
    <xf numFmtId="38" fontId="3" fillId="4" borderId="12" xfId="2" applyNumberFormat="1" applyFont="1" applyFill="1" applyBorder="1" applyAlignment="1">
      <alignment vertical="center"/>
    </xf>
    <xf numFmtId="38" fontId="3" fillId="4" borderId="0" xfId="2" applyNumberFormat="1" applyFont="1" applyFill="1" applyBorder="1" applyAlignment="1">
      <alignment vertical="center"/>
    </xf>
    <xf numFmtId="38" fontId="3" fillId="4" borderId="12" xfId="4" applyNumberFormat="1" applyFont="1" applyFill="1" applyBorder="1" applyAlignment="1">
      <alignment vertical="center"/>
    </xf>
    <xf numFmtId="38" fontId="3" fillId="4" borderId="0" xfId="4" applyNumberFormat="1" applyFont="1" applyFill="1" applyBorder="1" applyAlignment="1">
      <alignment vertical="center"/>
    </xf>
    <xf numFmtId="38" fontId="3" fillId="4" borderId="13" xfId="4" applyNumberFormat="1" applyFont="1" applyFill="1" applyBorder="1" applyAlignment="1">
      <alignment vertical="center"/>
    </xf>
    <xf numFmtId="38" fontId="3" fillId="4" borderId="9" xfId="4" applyNumberFormat="1" applyFont="1" applyFill="1" applyBorder="1" applyAlignment="1">
      <alignment vertical="center"/>
    </xf>
    <xf numFmtId="38" fontId="3" fillId="4" borderId="10" xfId="4" applyNumberFormat="1" applyFont="1" applyFill="1" applyBorder="1" applyAlignment="1">
      <alignment vertical="center"/>
    </xf>
    <xf numFmtId="38" fontId="3" fillId="4" borderId="11" xfId="4" applyNumberFormat="1" applyFont="1" applyFill="1" applyBorder="1" applyAlignment="1">
      <alignment vertical="center"/>
    </xf>
    <xf numFmtId="38" fontId="3" fillId="4" borderId="6" xfId="4" applyNumberFormat="1" applyFont="1" applyFill="1" applyBorder="1" applyAlignment="1">
      <alignment vertical="center"/>
    </xf>
    <xf numFmtId="38" fontId="3" fillId="4" borderId="7" xfId="4" applyNumberFormat="1" applyFont="1" applyFill="1" applyBorder="1" applyAlignment="1">
      <alignment vertical="center"/>
    </xf>
    <xf numFmtId="38" fontId="3" fillId="4" borderId="8" xfId="4" applyNumberFormat="1" applyFont="1" applyFill="1" applyBorder="1" applyAlignment="1">
      <alignment vertical="center"/>
    </xf>
    <xf numFmtId="38" fontId="3" fillId="4" borderId="9" xfId="2" applyNumberFormat="1" applyFont="1" applyFill="1" applyBorder="1" applyAlignment="1">
      <alignment vertical="center"/>
    </xf>
    <xf numFmtId="38" fontId="3" fillId="4" borderId="10" xfId="2" applyNumberFormat="1" applyFont="1" applyFill="1" applyBorder="1" applyAlignment="1">
      <alignment vertical="center"/>
    </xf>
    <xf numFmtId="38" fontId="3" fillId="4" borderId="11" xfId="2" applyNumberFormat="1" applyFont="1" applyFill="1" applyBorder="1" applyAlignment="1">
      <alignment vertical="center"/>
    </xf>
    <xf numFmtId="38" fontId="11" fillId="2" borderId="2" xfId="0" applyNumberFormat="1" applyFont="1" applyFill="1" applyBorder="1" applyAlignment="1">
      <alignment vertical="center" wrapText="1"/>
    </xf>
    <xf numFmtId="38" fontId="1" fillId="2" borderId="3" xfId="0" applyNumberFormat="1" applyFont="1" applyFill="1" applyBorder="1" applyAlignment="1">
      <alignment horizontal="center"/>
    </xf>
    <xf numFmtId="3" fontId="0" fillId="5" borderId="4" xfId="1" applyFont="1" applyFill="1" applyBorder="1">
      <alignment horizontal="right" vertical="center"/>
      <protection locked="0"/>
    </xf>
    <xf numFmtId="38" fontId="3" fillId="2" borderId="4" xfId="2" applyNumberFormat="1" applyFont="1">
      <alignment horizontal="right" vertical="center"/>
    </xf>
    <xf numFmtId="38" fontId="3" fillId="2" borderId="4" xfId="1" applyNumberFormat="1" applyFont="1" applyFill="1" applyBorder="1" applyProtection="1">
      <alignment horizontal="right" vertical="center"/>
    </xf>
    <xf numFmtId="38" fontId="5" fillId="5" borderId="4" xfId="0" applyNumberFormat="1" applyFont="1" applyFill="1" applyBorder="1" applyProtection="1">
      <protection locked="0"/>
    </xf>
    <xf numFmtId="38" fontId="4" fillId="2" borderId="4" xfId="0" applyNumberFormat="1" applyFont="1" applyFill="1" applyBorder="1" applyAlignment="1">
      <alignment horizontal="center" vertical="center"/>
    </xf>
    <xf numFmtId="38" fontId="4" fillId="10" borderId="4" xfId="0" applyNumberFormat="1" applyFont="1" applyFill="1" applyBorder="1" applyAlignment="1">
      <alignment horizontal="center" vertical="center"/>
    </xf>
    <xf numFmtId="38" fontId="8" fillId="9" borderId="4" xfId="0" applyNumberFormat="1" applyFont="1" applyFill="1" applyBorder="1" applyAlignment="1">
      <alignment horizontal="center"/>
    </xf>
    <xf numFmtId="3" fontId="17" fillId="5" borderId="4" xfId="1" applyFont="1" applyFill="1" applyBorder="1">
      <alignment horizontal="right" vertical="center"/>
      <protection locked="0"/>
    </xf>
    <xf numFmtId="38" fontId="3" fillId="2" borderId="15" xfId="0" applyNumberFormat="1" applyFont="1" applyFill="1" applyBorder="1" applyAlignment="1">
      <alignment vertical="center"/>
    </xf>
    <xf numFmtId="165" fontId="8" fillId="2" borderId="3" xfId="1" applyNumberFormat="1" applyFont="1" applyFill="1" applyBorder="1" applyProtection="1">
      <alignment horizontal="right" vertical="center"/>
    </xf>
    <xf numFmtId="38" fontId="3" fillId="2" borderId="4" xfId="0" applyNumberFormat="1" applyFont="1" applyFill="1" applyBorder="1" applyAlignment="1">
      <alignment vertical="center"/>
    </xf>
    <xf numFmtId="3" fontId="18" fillId="0" borderId="4" xfId="1" applyFont="1" applyFill="1" applyBorder="1" applyAlignment="1">
      <alignment horizontal="center" vertical="center"/>
      <protection locked="0"/>
    </xf>
    <xf numFmtId="38" fontId="3" fillId="4" borderId="1" xfId="0" applyNumberFormat="1" applyFont="1" applyFill="1" applyBorder="1" applyAlignment="1">
      <alignment vertical="center"/>
    </xf>
    <xf numFmtId="38" fontId="3" fillId="4" borderId="2" xfId="0" applyNumberFormat="1" applyFont="1" applyFill="1" applyBorder="1" applyAlignment="1">
      <alignment vertical="center"/>
    </xf>
    <xf numFmtId="38" fontId="3" fillId="4" borderId="3" xfId="0" applyNumberFormat="1" applyFont="1" applyFill="1" applyBorder="1" applyAlignment="1">
      <alignment vertical="center"/>
    </xf>
    <xf numFmtId="38" fontId="5" fillId="4" borderId="6" xfId="0" applyNumberFormat="1" applyFont="1" applyFill="1" applyBorder="1" applyAlignment="1" applyProtection="1">
      <alignment horizontal="center"/>
      <protection locked="0"/>
    </xf>
    <xf numFmtId="38" fontId="5" fillId="4" borderId="7" xfId="0" applyNumberFormat="1" applyFont="1" applyFill="1" applyBorder="1" applyAlignment="1" applyProtection="1">
      <alignment horizontal="center"/>
      <protection locked="0"/>
    </xf>
    <xf numFmtId="38" fontId="5" fillId="4" borderId="8" xfId="0" applyNumberFormat="1" applyFont="1" applyFill="1" applyBorder="1" applyAlignment="1" applyProtection="1">
      <alignment horizontal="center"/>
      <protection locked="0"/>
    </xf>
    <xf numFmtId="38" fontId="5" fillId="4" borderId="12" xfId="0" applyNumberFormat="1" applyFont="1" applyFill="1" applyBorder="1" applyAlignment="1" applyProtection="1">
      <alignment horizontal="center"/>
      <protection locked="0"/>
    </xf>
    <xf numFmtId="38" fontId="5" fillId="4" borderId="0" xfId="0" applyNumberFormat="1" applyFont="1" applyFill="1" applyAlignment="1" applyProtection="1">
      <alignment horizontal="center"/>
      <protection locked="0"/>
    </xf>
    <xf numFmtId="38" fontId="5" fillId="4" borderId="13" xfId="0" applyNumberFormat="1" applyFont="1" applyFill="1" applyBorder="1" applyAlignment="1" applyProtection="1">
      <alignment horizontal="center"/>
      <protection locked="0"/>
    </xf>
    <xf numFmtId="38" fontId="5" fillId="4" borderId="9" xfId="0" applyNumberFormat="1" applyFont="1" applyFill="1" applyBorder="1" applyAlignment="1" applyProtection="1">
      <alignment horizontal="center"/>
      <protection locked="0"/>
    </xf>
    <xf numFmtId="38" fontId="5" fillId="4" borderId="10" xfId="0" applyNumberFormat="1" applyFont="1" applyFill="1" applyBorder="1" applyAlignment="1" applyProtection="1">
      <alignment horizontal="center"/>
      <protection locked="0"/>
    </xf>
    <xf numFmtId="38" fontId="5" fillId="4" borderId="11" xfId="0" applyNumberFormat="1" applyFont="1" applyFill="1" applyBorder="1" applyAlignment="1" applyProtection="1">
      <alignment horizontal="center"/>
      <protection locked="0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7">
    <cellStyle name="Comma" xfId="6" builtinId="3"/>
    <cellStyle name="greyed" xfId="4" xr:uid="{BA0EAE62-9A26-4F92-9D13-EEC371D92EED}"/>
    <cellStyle name="inputExposure" xfId="1" xr:uid="{DD27D8B9-7EAA-4A69-B5EE-5179B11CD7CC}"/>
    <cellStyle name="Normal" xfId="0" builtinId="0"/>
    <cellStyle name="Normal 3" xfId="5" xr:uid="{67F49CB7-8FC0-461C-B30B-11DC9C9080A3}"/>
    <cellStyle name="optionalExposure" xfId="3" xr:uid="{BA83409A-5984-4003-ABE9-1D6497FA5AB1}"/>
    <cellStyle name="showExposure" xfId="2" xr:uid="{40C6DF49-41F9-41A8-B43D-031C38E34562}"/>
  </cellStyles>
  <dxfs count="103"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</dxfs>
  <tableStyles count="1" defaultTableStyle="TableStyleMedium2" defaultPivotStyle="PivotStyleLight16">
    <tableStyle name="Invisible" pivot="0" table="0" count="0" xr9:uid="{E4A237B4-0FDA-4B01-9E98-762DC5EBFF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EC8-2D19-4EEB-B621-2ED7424AF24C}">
  <sheetPr>
    <tabColor rgb="FF00B050"/>
    <pageSetUpPr fitToPage="1"/>
  </sheetPr>
  <dimension ref="A2:CN75"/>
  <sheetViews>
    <sheetView showGridLines="0" tabSelected="1" topLeftCell="A40" zoomScale="70" zoomScaleNormal="70" workbookViewId="0">
      <selection activeCell="B87" sqref="B87"/>
    </sheetView>
  </sheetViews>
  <sheetFormatPr defaultColWidth="8.81640625" defaultRowHeight="14.5" x14ac:dyDescent="0.35"/>
  <cols>
    <col min="1" max="1" width="1.81640625" style="5" customWidth="1"/>
    <col min="2" max="2" width="87.1796875" style="5" bestFit="1" customWidth="1"/>
    <col min="3" max="3" width="8.81640625" style="8"/>
    <col min="4" max="10" width="12.6328125" style="5" customWidth="1"/>
    <col min="11" max="11" width="13.36328125" style="5" bestFit="1" customWidth="1"/>
    <col min="12" max="13" width="12.6328125" style="5" customWidth="1"/>
    <col min="14" max="14" width="1.81640625" style="5" customWidth="1"/>
    <col min="15" max="15" width="10.08984375" style="6" bestFit="1" customWidth="1"/>
    <col min="16" max="16384" width="8.81640625" style="6"/>
  </cols>
  <sheetData>
    <row r="2" spans="1:14" ht="26" x14ac:dyDescent="0.6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4" ht="26" x14ac:dyDescent="0.6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4" x14ac:dyDescent="0.35">
      <c r="A4" s="6"/>
      <c r="B4" s="52"/>
      <c r="C4" s="53"/>
      <c r="D4" s="54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5">
      <c r="B6" s="7"/>
      <c r="D6" s="6"/>
      <c r="E6" s="6"/>
      <c r="F6" s="6"/>
      <c r="G6" s="6"/>
      <c r="H6" s="6"/>
      <c r="I6" s="6"/>
      <c r="J6" s="6"/>
      <c r="K6" s="9" t="s">
        <v>1</v>
      </c>
      <c r="L6" s="9" t="s">
        <v>2</v>
      </c>
      <c r="M6" s="9" t="s">
        <v>3</v>
      </c>
    </row>
    <row r="7" spans="1:14" x14ac:dyDescent="0.35">
      <c r="D7" s="38">
        <v>1</v>
      </c>
      <c r="E7" s="38">
        <f>D7+1</f>
        <v>2</v>
      </c>
      <c r="F7" s="38">
        <f t="shared" ref="F7:M7" si="0">E7+1</f>
        <v>3</v>
      </c>
      <c r="G7" s="38">
        <f t="shared" si="0"/>
        <v>4</v>
      </c>
      <c r="H7" s="38">
        <f t="shared" si="0"/>
        <v>5</v>
      </c>
      <c r="I7" s="38">
        <f t="shared" si="0"/>
        <v>6</v>
      </c>
      <c r="J7" s="38">
        <f t="shared" si="0"/>
        <v>7</v>
      </c>
      <c r="K7" s="38">
        <f t="shared" si="0"/>
        <v>8</v>
      </c>
      <c r="L7" s="38">
        <f t="shared" si="0"/>
        <v>9</v>
      </c>
      <c r="M7" s="38">
        <f t="shared" si="0"/>
        <v>10</v>
      </c>
    </row>
    <row r="8" spans="1:14" ht="15.5" x14ac:dyDescent="0.35">
      <c r="A8" s="10" t="s">
        <v>59</v>
      </c>
      <c r="B8" s="82"/>
      <c r="C8" s="41" t="s">
        <v>49</v>
      </c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4" x14ac:dyDescent="0.35">
      <c r="A9" s="14"/>
      <c r="B9" s="69" t="s">
        <v>60</v>
      </c>
      <c r="C9" s="16">
        <v>1</v>
      </c>
      <c r="D9" s="39">
        <v>1</v>
      </c>
      <c r="E9" s="79"/>
      <c r="F9" s="80"/>
      <c r="G9" s="80"/>
      <c r="H9" s="80"/>
      <c r="I9" s="80"/>
      <c r="J9" s="80"/>
      <c r="K9" s="80"/>
      <c r="L9" s="80"/>
      <c r="M9" s="81"/>
    </row>
    <row r="10" spans="1:14" ht="15.5" x14ac:dyDescent="0.35">
      <c r="A10" s="29" t="s">
        <v>54</v>
      </c>
      <c r="B10" s="68"/>
      <c r="C10" s="43"/>
      <c r="D10" s="18"/>
      <c r="E10" s="18"/>
      <c r="F10" s="11"/>
      <c r="G10" s="11"/>
      <c r="H10" s="11"/>
      <c r="I10" s="11"/>
      <c r="J10" s="11"/>
      <c r="K10" s="12"/>
      <c r="L10" s="12"/>
      <c r="M10" s="13"/>
    </row>
    <row r="11" spans="1:14" x14ac:dyDescent="0.35">
      <c r="A11" s="14"/>
      <c r="B11" s="15" t="s">
        <v>4</v>
      </c>
      <c r="C11" s="16">
        <f>C9+1</f>
        <v>2</v>
      </c>
      <c r="D11" s="71"/>
      <c r="E11" s="72"/>
      <c r="F11" s="72"/>
      <c r="G11" s="72"/>
      <c r="H11" s="72"/>
      <c r="I11" s="72"/>
      <c r="J11" s="73"/>
      <c r="K11" s="122"/>
      <c r="L11" s="122"/>
      <c r="M11" s="122"/>
    </row>
    <row r="12" spans="1:14" x14ac:dyDescent="0.35">
      <c r="A12" s="14"/>
      <c r="B12" s="17" t="s">
        <v>5</v>
      </c>
      <c r="C12" s="45">
        <f t="shared" ref="C12" si="1">C11+1</f>
        <v>3</v>
      </c>
      <c r="D12" s="74"/>
      <c r="E12" s="70"/>
      <c r="F12" s="70"/>
      <c r="G12" s="70"/>
      <c r="H12" s="70"/>
      <c r="I12" s="70"/>
      <c r="J12" s="75"/>
      <c r="K12" s="122"/>
      <c r="L12" s="122"/>
      <c r="M12" s="122"/>
    </row>
    <row r="13" spans="1:14" x14ac:dyDescent="0.35">
      <c r="A13" s="14"/>
      <c r="B13" s="48" t="str">
        <f>CONCATENATE("Check: row ",ROW(B12)," ≤ row ",ROW(B11))</f>
        <v>Check: row 12 ≤ row 11</v>
      </c>
      <c r="C13" s="16">
        <f>C12+1</f>
        <v>4</v>
      </c>
      <c r="D13" s="77"/>
      <c r="E13" s="77"/>
      <c r="F13" s="77"/>
      <c r="G13" s="77"/>
      <c r="H13" s="77"/>
      <c r="I13" s="77"/>
      <c r="J13" s="77"/>
      <c r="K13" s="50" t="str">
        <f t="shared" ref="K13:L13" si="2">IF(AND(ISNUMBER(K11), ISNUMBER(K12)),IF(AND(K12 &lt;= K11), "Pass","Fail"),"")</f>
        <v/>
      </c>
      <c r="L13" s="50" t="str">
        <f t="shared" si="2"/>
        <v/>
      </c>
      <c r="M13" s="50" t="str">
        <f>IF(AND(ISNUMBER(M11), ISNUMBER(M12)),IF(AND(M12 &lt;= M11), "Pass","Fail"),"")</f>
        <v/>
      </c>
    </row>
    <row r="14" spans="1:14" x14ac:dyDescent="0.35">
      <c r="A14" s="19"/>
      <c r="D14" s="6"/>
      <c r="E14" s="6"/>
      <c r="F14" s="6"/>
      <c r="G14" s="6"/>
      <c r="H14" s="6"/>
      <c r="I14" s="6"/>
      <c r="J14" s="6"/>
      <c r="M14" s="20"/>
    </row>
    <row r="15" spans="1:14" s="5" customFormat="1" ht="15.5" x14ac:dyDescent="0.35">
      <c r="A15" s="21" t="s">
        <v>55</v>
      </c>
      <c r="B15" s="22"/>
      <c r="C15" s="8"/>
      <c r="D15" s="6"/>
      <c r="E15" s="6"/>
      <c r="F15" s="6"/>
      <c r="G15" s="6"/>
      <c r="H15" s="6"/>
      <c r="I15" s="6"/>
      <c r="J15" s="6"/>
      <c r="M15" s="20"/>
    </row>
    <row r="16" spans="1:14" s="5" customFormat="1" x14ac:dyDescent="0.35">
      <c r="A16" s="23"/>
      <c r="B16" s="24" t="s">
        <v>6</v>
      </c>
      <c r="C16" s="16">
        <f>C13+1</f>
        <v>5</v>
      </c>
      <c r="D16" s="71"/>
      <c r="E16" s="72"/>
      <c r="F16" s="72"/>
      <c r="G16" s="72"/>
      <c r="H16" s="72"/>
      <c r="I16" s="72"/>
      <c r="J16" s="73"/>
      <c r="K16" s="123" t="str">
        <f>IF(AND(ISNUMBER(K17), ISNUMBER(K19), ISNUMBER(K22), ISNUMBER(K23), ISNUMBER(K24), ISNUMBER(K25), ISNUMBER(K27)), K17-K19+K22+K23-K24+K25+K27+K28, "")</f>
        <v/>
      </c>
      <c r="L16" s="123" t="str">
        <f t="shared" ref="L16" si="3">IF(AND(ISNUMBER(L17), ISNUMBER(L19), ISNUMBER(L22), ISNUMBER(L23), ISNUMBER(L24), ISNUMBER(L25), ISNUMBER(L27)), L17-L19+L22+L23-L24+L25+L27+L28, "")</f>
        <v/>
      </c>
      <c r="M16" s="123" t="str">
        <f>IF(AND(ISNUMBER(M17), ISNUMBER(M19), ISNUMBER(M22), ISNUMBER(M23), ISNUMBER(M24), ISNUMBER(M25), ISNUMBER(M27)), M17-M19+M22+M23-M24+M25+M27+M28, "")</f>
        <v/>
      </c>
    </row>
    <row r="17" spans="1:13" s="5" customFormat="1" x14ac:dyDescent="0.35">
      <c r="A17" s="14"/>
      <c r="B17" s="25" t="s">
        <v>7</v>
      </c>
      <c r="C17" s="16">
        <f t="shared" ref="C17:C48" si="4">C16+1</f>
        <v>6</v>
      </c>
      <c r="D17" s="74"/>
      <c r="E17" s="70"/>
      <c r="F17" s="70"/>
      <c r="G17" s="70"/>
      <c r="H17" s="70"/>
      <c r="I17" s="70"/>
      <c r="J17" s="75"/>
      <c r="K17" s="122"/>
      <c r="L17" s="122"/>
      <c r="M17" s="122"/>
    </row>
    <row r="18" spans="1:13" s="5" customFormat="1" x14ac:dyDescent="0.35">
      <c r="A18" s="14"/>
      <c r="B18" s="17" t="s">
        <v>8</v>
      </c>
      <c r="C18" s="16">
        <f t="shared" si="4"/>
        <v>7</v>
      </c>
      <c r="D18" s="74"/>
      <c r="E18" s="70"/>
      <c r="F18" s="70"/>
      <c r="G18" s="70"/>
      <c r="H18" s="70"/>
      <c r="I18" s="70"/>
      <c r="J18" s="75"/>
      <c r="K18" s="122"/>
      <c r="L18" s="122"/>
      <c r="M18" s="122"/>
    </row>
    <row r="19" spans="1:13" s="5" customFormat="1" x14ac:dyDescent="0.35">
      <c r="A19" s="14"/>
      <c r="B19" s="25" t="s">
        <v>9</v>
      </c>
      <c r="C19" s="16">
        <f t="shared" si="4"/>
        <v>8</v>
      </c>
      <c r="D19" s="74"/>
      <c r="E19" s="70"/>
      <c r="F19" s="70"/>
      <c r="G19" s="70"/>
      <c r="H19" s="70"/>
      <c r="I19" s="70"/>
      <c r="J19" s="75"/>
      <c r="K19" s="122"/>
      <c r="L19" s="122"/>
      <c r="M19" s="122"/>
    </row>
    <row r="20" spans="1:13" s="5" customFormat="1" x14ac:dyDescent="0.35">
      <c r="A20" s="14"/>
      <c r="B20" s="17" t="s">
        <v>10</v>
      </c>
      <c r="C20" s="16">
        <f t="shared" si="4"/>
        <v>9</v>
      </c>
      <c r="D20" s="74"/>
      <c r="E20" s="70"/>
      <c r="F20" s="70"/>
      <c r="G20" s="70"/>
      <c r="H20" s="70"/>
      <c r="I20" s="70"/>
      <c r="J20" s="75"/>
      <c r="K20" s="122"/>
      <c r="L20" s="122"/>
      <c r="M20" s="122"/>
    </row>
    <row r="21" spans="1:13" s="5" customFormat="1" x14ac:dyDescent="0.35">
      <c r="A21" s="14"/>
      <c r="B21" s="25" t="s">
        <v>11</v>
      </c>
      <c r="C21" s="16">
        <f t="shared" si="4"/>
        <v>10</v>
      </c>
      <c r="D21" s="74"/>
      <c r="E21" s="70"/>
      <c r="F21" s="70"/>
      <c r="G21" s="70"/>
      <c r="H21" s="70"/>
      <c r="I21" s="70"/>
      <c r="J21" s="75"/>
      <c r="K21" s="123" t="str">
        <f>IF(AND(ISNUMBER(K$17),ISNUMBER(K$19)),ABS(K$17-K$19),"")</f>
        <v/>
      </c>
      <c r="L21" s="123" t="str">
        <f t="shared" ref="L21" si="5">IF(AND(ISNUMBER(L$17),ISNUMBER(L$19)),ABS(L$17-L$19),"")</f>
        <v/>
      </c>
      <c r="M21" s="123" t="str">
        <f>IF(AND(ISNUMBER(M$17),ISNUMBER(M$19)),ABS(M$17-M$19),"")</f>
        <v/>
      </c>
    </row>
    <row r="22" spans="1:13" s="5" customFormat="1" x14ac:dyDescent="0.35">
      <c r="A22" s="14"/>
      <c r="B22" s="25" t="s">
        <v>12</v>
      </c>
      <c r="C22" s="16">
        <f t="shared" si="4"/>
        <v>11</v>
      </c>
      <c r="D22" s="74"/>
      <c r="E22" s="70"/>
      <c r="F22" s="70"/>
      <c r="G22" s="70"/>
      <c r="H22" s="70"/>
      <c r="I22" s="70"/>
      <c r="J22" s="75"/>
      <c r="K22" s="122"/>
      <c r="L22" s="122"/>
      <c r="M22" s="122"/>
    </row>
    <row r="23" spans="1:13" s="5" customFormat="1" x14ac:dyDescent="0.35">
      <c r="A23" s="14"/>
      <c r="B23" s="25" t="s">
        <v>13</v>
      </c>
      <c r="C23" s="16">
        <f t="shared" si="4"/>
        <v>12</v>
      </c>
      <c r="D23" s="74"/>
      <c r="E23" s="70"/>
      <c r="F23" s="70"/>
      <c r="G23" s="70"/>
      <c r="H23" s="70"/>
      <c r="I23" s="70"/>
      <c r="J23" s="75"/>
      <c r="K23" s="122"/>
      <c r="L23" s="122"/>
      <c r="M23" s="122"/>
    </row>
    <row r="24" spans="1:13" s="5" customFormat="1" x14ac:dyDescent="0.35">
      <c r="A24" s="14"/>
      <c r="B24" s="25" t="s">
        <v>14</v>
      </c>
      <c r="C24" s="16">
        <f t="shared" si="4"/>
        <v>13</v>
      </c>
      <c r="D24" s="74"/>
      <c r="E24" s="70"/>
      <c r="F24" s="70"/>
      <c r="G24" s="70"/>
      <c r="H24" s="70"/>
      <c r="I24" s="70"/>
      <c r="J24" s="75"/>
      <c r="K24" s="122"/>
      <c r="L24" s="122"/>
      <c r="M24" s="122"/>
    </row>
    <row r="25" spans="1:13" s="5" customFormat="1" x14ac:dyDescent="0.35">
      <c r="A25" s="14"/>
      <c r="B25" s="15" t="s">
        <v>15</v>
      </c>
      <c r="C25" s="16">
        <f t="shared" si="4"/>
        <v>14</v>
      </c>
      <c r="D25" s="74"/>
      <c r="E25" s="70"/>
      <c r="F25" s="70"/>
      <c r="G25" s="70"/>
      <c r="H25" s="70"/>
      <c r="I25" s="70"/>
      <c r="J25" s="75"/>
      <c r="K25" s="122"/>
      <c r="L25" s="122"/>
      <c r="M25" s="122"/>
    </row>
    <row r="26" spans="1:13" s="5" customFormat="1" x14ac:dyDescent="0.35">
      <c r="A26" s="14"/>
      <c r="B26" s="15" t="s">
        <v>16</v>
      </c>
      <c r="C26" s="16">
        <f t="shared" si="4"/>
        <v>15</v>
      </c>
      <c r="D26" s="74"/>
      <c r="E26" s="70"/>
      <c r="F26" s="70"/>
      <c r="G26" s="70"/>
      <c r="H26" s="70"/>
      <c r="I26" s="70"/>
      <c r="J26" s="75"/>
      <c r="K26" s="122"/>
      <c r="L26" s="122"/>
      <c r="M26" s="122"/>
    </row>
    <row r="27" spans="1:13" s="5" customFormat="1" x14ac:dyDescent="0.35">
      <c r="A27" s="14"/>
      <c r="B27" s="25" t="s">
        <v>17</v>
      </c>
      <c r="C27" s="16">
        <f t="shared" si="4"/>
        <v>16</v>
      </c>
      <c r="D27" s="74"/>
      <c r="E27" s="70"/>
      <c r="F27" s="70"/>
      <c r="G27" s="70"/>
      <c r="H27" s="70"/>
      <c r="I27" s="70"/>
      <c r="J27" s="75"/>
      <c r="K27" s="122"/>
      <c r="L27" s="122"/>
      <c r="M27" s="122"/>
    </row>
    <row r="28" spans="1:13" s="5" customFormat="1" x14ac:dyDescent="0.35">
      <c r="A28" s="26"/>
      <c r="B28" s="25" t="s">
        <v>18</v>
      </c>
      <c r="C28" s="16">
        <f t="shared" si="4"/>
        <v>17</v>
      </c>
      <c r="D28" s="74"/>
      <c r="E28" s="70"/>
      <c r="F28" s="70"/>
      <c r="G28" s="70"/>
      <c r="H28" s="70"/>
      <c r="I28" s="70"/>
      <c r="J28" s="75"/>
      <c r="K28" s="122"/>
      <c r="L28" s="122"/>
      <c r="M28" s="122"/>
    </row>
    <row r="29" spans="1:13" s="5" customFormat="1" x14ac:dyDescent="0.35">
      <c r="A29" s="14"/>
      <c r="B29" s="25" t="s">
        <v>19</v>
      </c>
      <c r="C29" s="16">
        <f t="shared" si="4"/>
        <v>18</v>
      </c>
      <c r="D29" s="76"/>
      <c r="E29" s="77"/>
      <c r="F29" s="77"/>
      <c r="G29" s="77"/>
      <c r="H29" s="77"/>
      <c r="I29" s="77"/>
      <c r="J29" s="78"/>
      <c r="K29" s="122"/>
      <c r="L29" s="122"/>
      <c r="M29" s="122"/>
    </row>
    <row r="30" spans="1:13" s="5" customFormat="1" x14ac:dyDescent="0.35">
      <c r="A30" s="19"/>
      <c r="C30" s="8"/>
      <c r="D30" s="6"/>
      <c r="E30" s="6"/>
      <c r="F30" s="6"/>
      <c r="G30" s="6"/>
      <c r="H30" s="6"/>
      <c r="I30" s="6"/>
      <c r="J30" s="6"/>
      <c r="M30" s="20"/>
    </row>
    <row r="31" spans="1:13" s="5" customFormat="1" ht="15.5" x14ac:dyDescent="0.35">
      <c r="A31" s="21" t="s">
        <v>56</v>
      </c>
      <c r="B31" s="22"/>
      <c r="C31" s="8"/>
      <c r="D31" s="6"/>
      <c r="E31" s="6"/>
      <c r="F31" s="6"/>
      <c r="G31" s="6"/>
      <c r="H31" s="6"/>
      <c r="I31" s="6"/>
      <c r="J31" s="6"/>
      <c r="M31" s="20"/>
    </row>
    <row r="32" spans="1:13" s="5" customFormat="1" x14ac:dyDescent="0.35">
      <c r="A32" s="19"/>
      <c r="C32" s="8"/>
      <c r="M32" s="20"/>
    </row>
    <row r="33" spans="1:92" s="5" customFormat="1" x14ac:dyDescent="0.35">
      <c r="A33" s="23"/>
      <c r="B33" s="120" t="s">
        <v>50</v>
      </c>
      <c r="C33" s="121"/>
      <c r="D33" s="9" t="s">
        <v>20</v>
      </c>
      <c r="E33" s="9" t="s">
        <v>21</v>
      </c>
      <c r="F33" s="9" t="s">
        <v>22</v>
      </c>
      <c r="G33" s="9" t="s">
        <v>23</v>
      </c>
      <c r="H33" s="9" t="s">
        <v>24</v>
      </c>
      <c r="I33" s="9" t="s">
        <v>25</v>
      </c>
      <c r="J33" s="9" t="s">
        <v>26</v>
      </c>
      <c r="K33" s="9" t="s">
        <v>1</v>
      </c>
      <c r="L33" s="9" t="s">
        <v>2</v>
      </c>
      <c r="M33" s="9" t="s">
        <v>3</v>
      </c>
    </row>
    <row r="34" spans="1:92" s="5" customFormat="1" x14ac:dyDescent="0.3">
      <c r="A34" s="14"/>
      <c r="B34" s="46" t="s">
        <v>27</v>
      </c>
      <c r="C34" s="16">
        <f>C29+1</f>
        <v>19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92" s="5" customFormat="1" x14ac:dyDescent="0.3">
      <c r="A35" s="14"/>
      <c r="B35" s="46" t="s">
        <v>28</v>
      </c>
      <c r="C35" s="16">
        <f t="shared" si="4"/>
        <v>20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92" s="5" customFormat="1" x14ac:dyDescent="0.3">
      <c r="A36" s="14"/>
      <c r="B36" s="46" t="s">
        <v>29</v>
      </c>
      <c r="C36" s="16">
        <f t="shared" si="4"/>
        <v>21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92" s="5" customFormat="1" ht="13.5" customHeight="1" x14ac:dyDescent="0.3">
      <c r="A37" s="14"/>
      <c r="B37" s="44" t="str">
        <f>CONCATENATE("Check: row ",ROW(B36)," ≤ row ",ROW(B35))</f>
        <v>Check: row 36 ≤ row 35</v>
      </c>
      <c r="C37" s="16">
        <f t="shared" si="4"/>
        <v>22</v>
      </c>
      <c r="D37" s="84" t="str">
        <f>IF(AND(ISNUMBER(D35), ISNUMBER(D36)),IF(AND(D36 &lt;= D35), "Pass","Fail"),"")</f>
        <v/>
      </c>
      <c r="E37" s="84" t="str">
        <f t="shared" ref="E37:L37" si="6">IF(AND(ISNUMBER(E35), ISNUMBER(E36)),IF(AND(E36 &lt;= E35), "Pass","Fail"),"")</f>
        <v/>
      </c>
      <c r="F37" s="84" t="str">
        <f t="shared" si="6"/>
        <v/>
      </c>
      <c r="G37" s="84" t="str">
        <f t="shared" si="6"/>
        <v/>
      </c>
      <c r="H37" s="84" t="str">
        <f t="shared" si="6"/>
        <v/>
      </c>
      <c r="I37" s="84" t="str">
        <f t="shared" si="6"/>
        <v/>
      </c>
      <c r="J37" s="84" t="str">
        <f t="shared" si="6"/>
        <v/>
      </c>
      <c r="K37" s="84" t="str">
        <f t="shared" si="6"/>
        <v/>
      </c>
      <c r="L37" s="84" t="str">
        <f t="shared" si="6"/>
        <v/>
      </c>
      <c r="M37" s="84" t="str">
        <f>IF(AND(ISNUMBER(M35), ISNUMBER(M36)),IF(AND(M36 &lt;= M35), "Pass","Fail"),"")</f>
        <v/>
      </c>
    </row>
    <row r="38" spans="1:92" s="5" customFormat="1" ht="13" x14ac:dyDescent="0.3">
      <c r="A38" s="14"/>
      <c r="B38" s="46" t="s">
        <v>30</v>
      </c>
      <c r="C38" s="16">
        <f>C37+1</f>
        <v>23</v>
      </c>
      <c r="D38" s="124" t="str">
        <f>IF(AND(ISNUMBER(D$34),ISNUMBER(D$35)),D$34-D$35,"")</f>
        <v/>
      </c>
      <c r="E38" s="124" t="str">
        <f t="shared" ref="E38:M38" si="7">IF(AND(ISNUMBER(E$34),ISNUMBER(E$35)),E$34-E$35,"")</f>
        <v/>
      </c>
      <c r="F38" s="124" t="str">
        <f t="shared" si="7"/>
        <v/>
      </c>
      <c r="G38" s="124" t="str">
        <f t="shared" si="7"/>
        <v/>
      </c>
      <c r="H38" s="124" t="str">
        <f t="shared" si="7"/>
        <v/>
      </c>
      <c r="I38" s="124" t="str">
        <f t="shared" si="7"/>
        <v/>
      </c>
      <c r="J38" s="124" t="str">
        <f t="shared" si="7"/>
        <v/>
      </c>
      <c r="K38" s="124" t="str">
        <f t="shared" si="7"/>
        <v/>
      </c>
      <c r="L38" s="124" t="str">
        <f t="shared" si="7"/>
        <v/>
      </c>
      <c r="M38" s="124" t="str">
        <f t="shared" si="7"/>
        <v/>
      </c>
    </row>
    <row r="39" spans="1:92" s="5" customFormat="1" x14ac:dyDescent="0.3">
      <c r="A39" s="14"/>
      <c r="B39" s="46" t="s">
        <v>31</v>
      </c>
      <c r="C39" s="16">
        <f t="shared" si="4"/>
        <v>24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92" s="5" customFormat="1" ht="13" x14ac:dyDescent="0.3">
      <c r="A40" s="14"/>
      <c r="B40" s="44" t="str">
        <f>CONCATENATE("Check: row ",ROW(B34)," &gt; 0 ↔ row ",ROW(B39), "&gt; 0")</f>
        <v>Check: row 34 &gt; 0 ↔ row 39&gt; 0</v>
      </c>
      <c r="C40" s="16">
        <f t="shared" si="4"/>
        <v>25</v>
      </c>
      <c r="D40" s="83" t="str">
        <f>IF(AND(ISNUMBER(D34), ISNUMBER(D39)),IF(D39 &gt;0, IF(D34&gt;0, "Pass","Fail"), IF(D34=0, "Pass","Fail")), "")</f>
        <v/>
      </c>
      <c r="E40" s="83" t="str">
        <f t="shared" ref="E40:L40" si="8">IF(AND(ISNUMBER(E34), ISNUMBER(E39)),IF(E39 &gt;0, IF(E34&gt;0, "Pass","Fail"), IF(E34=0, "Pass","Fail")), "")</f>
        <v/>
      </c>
      <c r="F40" s="83" t="str">
        <f t="shared" si="8"/>
        <v/>
      </c>
      <c r="G40" s="83" t="str">
        <f t="shared" si="8"/>
        <v/>
      </c>
      <c r="H40" s="83" t="str">
        <f t="shared" si="8"/>
        <v/>
      </c>
      <c r="I40" s="83" t="str">
        <f t="shared" si="8"/>
        <v/>
      </c>
      <c r="J40" s="83" t="str">
        <f t="shared" si="8"/>
        <v/>
      </c>
      <c r="K40" s="83" t="str">
        <f t="shared" si="8"/>
        <v/>
      </c>
      <c r="L40" s="83" t="str">
        <f t="shared" si="8"/>
        <v/>
      </c>
      <c r="M40" s="83" t="str">
        <f>IF(AND(ISNUMBER(M34), ISNUMBER(M39)),IF(M39 &gt;0, IF(M34&gt;0, "Pass","Fail"), IF(M34=0, "Pass","Fail")), "")</f>
        <v/>
      </c>
    </row>
    <row r="41" spans="1:92" s="5" customFormat="1" ht="14.5" customHeight="1" x14ac:dyDescent="0.3">
      <c r="A41" s="14"/>
      <c r="B41" s="46" t="s">
        <v>32</v>
      </c>
      <c r="C41" s="16">
        <f>C40+1</f>
        <v>26</v>
      </c>
      <c r="D41" s="125"/>
      <c r="E41" s="137"/>
      <c r="F41" s="138"/>
      <c r="G41" s="138"/>
      <c r="H41" s="138"/>
      <c r="I41" s="138"/>
      <c r="J41" s="138"/>
      <c r="K41" s="138"/>
      <c r="L41" s="138"/>
      <c r="M41" s="139"/>
    </row>
    <row r="42" spans="1:92" s="5" customFormat="1" ht="14.5" customHeight="1" x14ac:dyDescent="0.3">
      <c r="A42" s="14"/>
      <c r="B42" s="49" t="str">
        <f ca="1">CONCATENATE("Check: sum(row ",ROW(B39),") ≥ ",CELL("address",D41),"≥ max(row ",ROW(B39),")")</f>
        <v>Check: sum(row 39) ≥ $D$41≥ max(row 39)</v>
      </c>
      <c r="C42" s="16">
        <f t="shared" ref="C42:C43" si="9">C41+1</f>
        <v>27</v>
      </c>
      <c r="D42" s="128" t="str">
        <f>IF(AND(SUM(D39:M39)&gt;=D41,D41&gt;=MAX(D39:M39)), "Pass","Fail")</f>
        <v>Pass</v>
      </c>
      <c r="E42" s="140"/>
      <c r="F42" s="141"/>
      <c r="G42" s="141"/>
      <c r="H42" s="141"/>
      <c r="I42" s="141"/>
      <c r="J42" s="141"/>
      <c r="K42" s="141"/>
      <c r="L42" s="141"/>
      <c r="M42" s="142"/>
    </row>
    <row r="43" spans="1:92" s="51" customFormat="1" ht="14.5" customHeight="1" x14ac:dyDescent="0.3">
      <c r="A43" s="64"/>
      <c r="B43" s="44" t="str">
        <f ca="1">CONCATENATE("Check: sum(row ",ROW(B38),")/",CELL("address",D41),"≥ ZAR 350,000 or ",CELL("address",D41),"=0")</f>
        <v>Check: sum(row 38)/$D$41≥ ZAR 350,000 or $D$41=0</v>
      </c>
      <c r="C43" s="16">
        <f t="shared" si="9"/>
        <v>28</v>
      </c>
      <c r="D43" s="127" t="str">
        <f>IF(D41=0, "Pass",IF(SUM(D38:M38)/D41&gt;=350000/(1000),"Pass", "Fail"))</f>
        <v>Pass</v>
      </c>
      <c r="E43" s="143"/>
      <c r="F43" s="144"/>
      <c r="G43" s="144"/>
      <c r="H43" s="144"/>
      <c r="I43" s="144"/>
      <c r="J43" s="144"/>
      <c r="K43" s="144"/>
      <c r="L43" s="144"/>
      <c r="M43" s="14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</row>
    <row r="44" spans="1:92" s="5" customFormat="1" ht="16" x14ac:dyDescent="0.3">
      <c r="A44" s="14"/>
      <c r="B44" s="27" t="s">
        <v>33</v>
      </c>
      <c r="C44" s="16">
        <f>C43+1</f>
        <v>29</v>
      </c>
      <c r="D44" s="122"/>
      <c r="E44" s="122"/>
      <c r="F44" s="122"/>
      <c r="G44" s="122"/>
      <c r="H44" s="129"/>
      <c r="I44" s="122"/>
      <c r="J44" s="122"/>
      <c r="K44" s="122"/>
      <c r="L44" s="122"/>
      <c r="M44" s="122"/>
    </row>
    <row r="45" spans="1:92" s="5" customFormat="1" ht="13" x14ac:dyDescent="0.3">
      <c r="A45" s="14"/>
      <c r="B45" s="27" t="s">
        <v>34</v>
      </c>
      <c r="C45" s="16">
        <f t="shared" si="4"/>
        <v>30</v>
      </c>
      <c r="D45" s="123" t="str">
        <f>IF(AND(ISNUMBER(D$38),ISNUMBER(D$44)),D$38-D$44,"")</f>
        <v/>
      </c>
      <c r="E45" s="123" t="str">
        <f t="shared" ref="E45:M45" si="10">IF(AND(ISNUMBER(E$38),ISNUMBER(E$44)),E$38-E$44,"")</f>
        <v/>
      </c>
      <c r="F45" s="123" t="str">
        <f t="shared" si="10"/>
        <v/>
      </c>
      <c r="G45" s="123" t="str">
        <f t="shared" si="10"/>
        <v/>
      </c>
      <c r="H45" s="123" t="str">
        <f>IF(AND(ISNUMBER(H$38),ISNUMBER(H$44)),H$38-H$44,"")</f>
        <v/>
      </c>
      <c r="I45" s="123" t="str">
        <f t="shared" si="10"/>
        <v/>
      </c>
      <c r="J45" s="123" t="str">
        <f t="shared" si="10"/>
        <v/>
      </c>
      <c r="K45" s="123" t="str">
        <f t="shared" si="10"/>
        <v/>
      </c>
      <c r="L45" s="123" t="str">
        <f t="shared" si="10"/>
        <v/>
      </c>
      <c r="M45" s="123" t="str">
        <f t="shared" si="10"/>
        <v/>
      </c>
    </row>
    <row r="46" spans="1:92" s="5" customFormat="1" ht="14.5" customHeight="1" x14ac:dyDescent="0.3">
      <c r="A46" s="14"/>
      <c r="B46" s="27" t="s">
        <v>35</v>
      </c>
      <c r="C46" s="16">
        <f t="shared" si="4"/>
        <v>31</v>
      </c>
      <c r="D46" s="125"/>
      <c r="E46" s="137"/>
      <c r="F46" s="138"/>
      <c r="G46" s="138"/>
      <c r="H46" s="138"/>
      <c r="I46" s="138"/>
      <c r="J46" s="138"/>
      <c r="K46" s="138"/>
      <c r="L46" s="138"/>
      <c r="M46" s="139"/>
    </row>
    <row r="47" spans="1:92" s="5" customFormat="1" ht="14.5" customHeight="1" x14ac:dyDescent="0.3">
      <c r="A47" s="19"/>
      <c r="B47" s="44" t="str">
        <f ca="1">CONCATENATE("Check: ",CELL("address",D41),"≥ ",CELL("address",D46),"≥ 0")</f>
        <v>Check: $D$41≥ $D$46≥ 0</v>
      </c>
      <c r="C47" s="16">
        <f t="shared" si="4"/>
        <v>32</v>
      </c>
      <c r="D47" s="126" t="str">
        <f>IF(AND(ISNUMBER(D41), ISNUMBER(D46)), IF(AND(D41&gt;=D46, D46&gt;=0), "Pass","Fail"),"")</f>
        <v/>
      </c>
      <c r="E47" s="140"/>
      <c r="F47" s="141"/>
      <c r="G47" s="141"/>
      <c r="H47" s="141"/>
      <c r="I47" s="141"/>
      <c r="J47" s="141"/>
      <c r="K47" s="141"/>
      <c r="L47" s="141"/>
      <c r="M47" s="142"/>
    </row>
    <row r="48" spans="1:92" s="51" customFormat="1" ht="14.5" customHeight="1" x14ac:dyDescent="0.3">
      <c r="A48" s="14"/>
      <c r="B48" s="49" t="str">
        <f ca="1">CONCATENATE("Check: sum(row ",ROW(B45),")/(",CELL("address",D41)," - ",CELL("address",D46),")≥ ZAR 350,000 or ",CELL("address",D41)," - ",CELL("address",D46),"=0")</f>
        <v>Check: sum(row 45)/($D$41 - $D$46)≥ ZAR 350,000 or $D$41 - $D$46=0</v>
      </c>
      <c r="C48" s="16">
        <f t="shared" si="4"/>
        <v>33</v>
      </c>
      <c r="D48" s="127" t="str">
        <f>IF(D41-D46=0,"Pass", IF(SUM(D45:M45)/(D41-D46)&gt;=350000/(1000),"Pass","Fail"))</f>
        <v>Pass</v>
      </c>
      <c r="E48" s="143"/>
      <c r="F48" s="144"/>
      <c r="G48" s="144"/>
      <c r="H48" s="144"/>
      <c r="I48" s="144"/>
      <c r="J48" s="144"/>
      <c r="K48" s="144"/>
      <c r="L48" s="144"/>
      <c r="M48" s="14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</row>
    <row r="49" spans="1:92" s="5" customFormat="1" ht="14.5" customHeight="1" x14ac:dyDescent="0.3">
      <c r="A49" s="19"/>
      <c r="B49" s="44"/>
      <c r="C49" s="43"/>
      <c r="D49" s="28"/>
      <c r="E49" s="28"/>
      <c r="F49" s="28"/>
      <c r="G49" s="28"/>
      <c r="H49" s="28"/>
      <c r="I49" s="28"/>
      <c r="J49" s="28"/>
      <c r="K49" s="28"/>
      <c r="L49" s="28"/>
      <c r="M49" s="47"/>
    </row>
    <row r="50" spans="1:92" s="5" customFormat="1" ht="13" x14ac:dyDescent="0.3">
      <c r="A50" s="19"/>
      <c r="B50" s="27" t="s">
        <v>27</v>
      </c>
      <c r="C50" s="16">
        <f>C48+1</f>
        <v>34</v>
      </c>
      <c r="D50" s="85"/>
      <c r="E50" s="86"/>
      <c r="F50" s="86"/>
      <c r="G50" s="86"/>
      <c r="H50" s="86"/>
      <c r="I50" s="87"/>
      <c r="J50" s="87"/>
      <c r="K50" s="86"/>
      <c r="L50" s="88"/>
      <c r="M50" s="123" t="str">
        <f>IF(COUNT($D34:$M34)&gt;0,AVERAGE($D34:$M34),"")</f>
        <v/>
      </c>
    </row>
    <row r="51" spans="1:92" s="5" customFormat="1" ht="13" x14ac:dyDescent="0.3">
      <c r="A51" s="19"/>
      <c r="B51" s="27" t="s">
        <v>28</v>
      </c>
      <c r="C51" s="16">
        <f>C50+1</f>
        <v>35</v>
      </c>
      <c r="D51" s="89"/>
      <c r="E51" s="90"/>
      <c r="F51" s="90"/>
      <c r="G51" s="90"/>
      <c r="H51" s="90"/>
      <c r="I51" s="91"/>
      <c r="J51" s="91"/>
      <c r="K51" s="90"/>
      <c r="L51" s="92"/>
      <c r="M51" s="123" t="str">
        <f>IF(COUNT($D35:$M35)&gt;0,AVERAGE($D35:$M35),"")</f>
        <v/>
      </c>
    </row>
    <row r="52" spans="1:92" s="5" customFormat="1" ht="13" x14ac:dyDescent="0.3">
      <c r="A52" s="19"/>
      <c r="B52" s="27" t="s">
        <v>29</v>
      </c>
      <c r="C52" s="16">
        <f t="shared" ref="C52:C56" si="11">C51+1</f>
        <v>36</v>
      </c>
      <c r="D52" s="89"/>
      <c r="E52" s="90"/>
      <c r="F52" s="90"/>
      <c r="G52" s="90"/>
      <c r="H52" s="90"/>
      <c r="I52" s="91"/>
      <c r="J52" s="91"/>
      <c r="K52" s="90"/>
      <c r="L52" s="92"/>
      <c r="M52" s="123" t="str">
        <f>IF(COUNT($D36:$M36)&gt;0,AVERAGE($D36:$M36),"")</f>
        <v/>
      </c>
    </row>
    <row r="53" spans="1:92" s="5" customFormat="1" ht="13" x14ac:dyDescent="0.3">
      <c r="A53" s="19"/>
      <c r="B53" s="27" t="s">
        <v>30</v>
      </c>
      <c r="C53" s="16">
        <f t="shared" si="11"/>
        <v>37</v>
      </c>
      <c r="D53" s="89"/>
      <c r="E53" s="90"/>
      <c r="F53" s="90"/>
      <c r="G53" s="90"/>
      <c r="H53" s="90"/>
      <c r="I53" s="91"/>
      <c r="J53" s="91"/>
      <c r="K53" s="90"/>
      <c r="L53" s="92"/>
      <c r="M53" s="123" t="str">
        <f>IF(COUNT($D38:$M38)&gt;0,AVERAGE($D38:$M38),"")</f>
        <v/>
      </c>
    </row>
    <row r="54" spans="1:92" s="5" customFormat="1" ht="13" x14ac:dyDescent="0.3">
      <c r="A54" s="19"/>
      <c r="B54" s="27" t="s">
        <v>31</v>
      </c>
      <c r="C54" s="16">
        <f t="shared" si="11"/>
        <v>38</v>
      </c>
      <c r="D54" s="89"/>
      <c r="E54" s="90"/>
      <c r="F54" s="90"/>
      <c r="G54" s="90"/>
      <c r="H54" s="90"/>
      <c r="I54" s="91"/>
      <c r="J54" s="91"/>
      <c r="K54" s="90"/>
      <c r="L54" s="92"/>
      <c r="M54" s="123" t="str">
        <f>IF(COUNT($D39:$M39)&gt;0,AVERAGE($D39:$M39),"")</f>
        <v/>
      </c>
    </row>
    <row r="55" spans="1:92" s="5" customFormat="1" ht="13" x14ac:dyDescent="0.3">
      <c r="A55" s="19"/>
      <c r="B55" s="27" t="s">
        <v>33</v>
      </c>
      <c r="C55" s="16">
        <f t="shared" si="11"/>
        <v>39</v>
      </c>
      <c r="D55" s="89"/>
      <c r="E55" s="90"/>
      <c r="F55" s="90"/>
      <c r="G55" s="90"/>
      <c r="H55" s="90"/>
      <c r="I55" s="91"/>
      <c r="J55" s="91"/>
      <c r="K55" s="90"/>
      <c r="L55" s="92"/>
      <c r="M55" s="123" t="str">
        <f>IF(COUNT($D44:$M44)&gt;0,AVERAGE($D44:$M44),"")</f>
        <v/>
      </c>
    </row>
    <row r="56" spans="1:92" s="5" customFormat="1" ht="13" x14ac:dyDescent="0.3">
      <c r="A56" s="19"/>
      <c r="B56" s="27" t="s">
        <v>34</v>
      </c>
      <c r="C56" s="16">
        <f t="shared" si="11"/>
        <v>40</v>
      </c>
      <c r="D56" s="93"/>
      <c r="E56" s="94"/>
      <c r="F56" s="94"/>
      <c r="G56" s="94"/>
      <c r="H56" s="94"/>
      <c r="I56" s="95"/>
      <c r="J56" s="95"/>
      <c r="K56" s="94"/>
      <c r="L56" s="96"/>
      <c r="M56" s="123" t="str">
        <f>IF(COUNT($D45:$M45)&gt;0,AVERAGE($D45:$M45),"")</f>
        <v/>
      </c>
    </row>
    <row r="57" spans="1:92" s="5" customFormat="1" x14ac:dyDescent="0.35">
      <c r="A57" s="19"/>
      <c r="C57" s="8"/>
      <c r="M57" s="20"/>
    </row>
    <row r="58" spans="1:92" s="5" customFormat="1" ht="15.5" x14ac:dyDescent="0.35">
      <c r="A58" s="29" t="s">
        <v>57</v>
      </c>
      <c r="B58" s="30"/>
      <c r="C58" s="31"/>
      <c r="D58" s="32"/>
      <c r="E58" s="32"/>
      <c r="F58" s="32"/>
      <c r="G58" s="32"/>
      <c r="H58" s="32"/>
      <c r="I58" s="33"/>
      <c r="J58" s="33"/>
      <c r="K58" s="33"/>
      <c r="L58" s="33"/>
      <c r="M58" s="34"/>
    </row>
    <row r="59" spans="1:92" s="5" customFormat="1" ht="13" x14ac:dyDescent="0.3">
      <c r="A59" s="14"/>
      <c r="B59" s="35" t="s">
        <v>36</v>
      </c>
      <c r="C59" s="16">
        <f>C56+1</f>
        <v>41</v>
      </c>
      <c r="D59" s="97"/>
      <c r="E59" s="98"/>
      <c r="F59" s="98"/>
      <c r="G59" s="98"/>
      <c r="H59" s="98"/>
      <c r="I59" s="98"/>
      <c r="J59" s="98"/>
      <c r="K59" s="98"/>
      <c r="L59" s="99"/>
      <c r="M59" s="123" t="str" cm="1">
        <f t="array" ref="M59">IF(AND(ISNUMBER(K$21:M$21),ISNUMBER(K$12:M$12),ISNUMBER(K$22:M$22)),MIN(AVERAGE(K$21:M$21),0.0225*AVERAGE(K$12:M$12))+AVERAGE(K$22:M$22),"")</f>
        <v/>
      </c>
    </row>
    <row r="60" spans="1:92" s="5" customFormat="1" ht="13" x14ac:dyDescent="0.3">
      <c r="A60" s="14"/>
      <c r="B60" s="35" t="s">
        <v>37</v>
      </c>
      <c r="C60" s="16">
        <f t="shared" ref="C60:C75" si="12">C59+1</f>
        <v>42</v>
      </c>
      <c r="D60" s="100"/>
      <c r="E60" s="101"/>
      <c r="F60" s="101"/>
      <c r="G60" s="101"/>
      <c r="H60" s="101"/>
      <c r="I60" s="101"/>
      <c r="J60" s="101"/>
      <c r="K60" s="101"/>
      <c r="L60" s="102"/>
      <c r="M60" s="123" t="str" cm="1">
        <f t="array" ref="M60">IF(AND(ISNUMBER($K27:$M27),ISNUMBER($K29:$M29),ISNUMBER(K$23:M$23),ISNUMBER(K$24:M$24)),MAX(AVERAGE($K27:$M27),AVERAGE($K29:$M29))+MAX(AVERAGE(K$23:M$23),AVERAGE(K$24:M$24)),"")</f>
        <v/>
      </c>
    </row>
    <row r="61" spans="1:92" s="5" customFormat="1" ht="13" x14ac:dyDescent="0.3">
      <c r="A61" s="14"/>
      <c r="B61" s="35" t="s">
        <v>38</v>
      </c>
      <c r="C61" s="16">
        <f t="shared" si="12"/>
        <v>43</v>
      </c>
      <c r="D61" s="103"/>
      <c r="E61" s="104"/>
      <c r="F61" s="104"/>
      <c r="G61" s="104"/>
      <c r="H61" s="104"/>
      <c r="I61" s="104"/>
      <c r="J61" s="104"/>
      <c r="K61" s="104"/>
      <c r="L61" s="102"/>
      <c r="M61" s="123" t="str" cm="1">
        <f t="array" ref="M61">IF(AND(ISNUMBER(K$25:M$25)+ISNUMBER(K$26:M$26)),AVERAGE(ABS(K$25:M$25))+AVERAGE(ABS(K$26:M$26)),"")</f>
        <v/>
      </c>
    </row>
    <row r="62" spans="1:92" s="42" customFormat="1" ht="13" x14ac:dyDescent="0.3">
      <c r="A62" s="14"/>
      <c r="B62" s="35" t="s">
        <v>39</v>
      </c>
      <c r="C62" s="16">
        <f t="shared" si="12"/>
        <v>44</v>
      </c>
      <c r="D62" s="100"/>
      <c r="E62" s="101"/>
      <c r="F62" s="101"/>
      <c r="G62" s="101"/>
      <c r="H62" s="101"/>
      <c r="I62" s="101"/>
      <c r="J62" s="101"/>
      <c r="K62" s="101"/>
      <c r="L62" s="102"/>
      <c r="M62" s="123" t="str">
        <f>IF(AND(ISNUMBER($M$59),ISNUMBER($M$60),ISNUMBER(M61)),SUM($M$59:$M$61),"")</f>
        <v/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</row>
    <row r="63" spans="1:92" s="51" customFormat="1" ht="13" x14ac:dyDescent="0.3">
      <c r="A63" s="14"/>
      <c r="B63" s="36" t="s">
        <v>40</v>
      </c>
      <c r="C63" s="16">
        <f t="shared" si="12"/>
        <v>45</v>
      </c>
      <c r="D63" s="100"/>
      <c r="E63" s="101"/>
      <c r="F63" s="101"/>
      <c r="G63" s="101"/>
      <c r="H63" s="101"/>
      <c r="I63" s="101"/>
      <c r="J63" s="101"/>
      <c r="K63" s="101"/>
      <c r="L63" s="102"/>
      <c r="M63" s="123" t="str">
        <f>IF(AND(ISNUMBER(M$62)),IF(1000*M$62&lt;=5000000000,1,IF(1000*M$62&lt;=150000000000,2,3)),"")</f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</row>
    <row r="64" spans="1:92" s="51" customFormat="1" ht="13" x14ac:dyDescent="0.3">
      <c r="A64" s="14"/>
      <c r="B64" s="35" t="s">
        <v>41</v>
      </c>
      <c r="C64" s="16">
        <f>C63+1</f>
        <v>46</v>
      </c>
      <c r="D64" s="100"/>
      <c r="E64" s="101"/>
      <c r="F64" s="101"/>
      <c r="G64" s="101"/>
      <c r="H64" s="101"/>
      <c r="I64" s="101"/>
      <c r="J64" s="101"/>
      <c r="K64" s="101"/>
      <c r="L64" s="102"/>
      <c r="M64" s="130" t="str">
        <f>IF(ISNUMBER(M$62), IF(M$62&lt;(5000000000/(1000)), 0.12*M$62, IF(M$62&lt;(150000000000/(1000)), (600000000/(1000))+0.15*(M$62-(5000000000/(1000))), (22350000000/(1000))+0.18*(M$62-(150000000000/(1000))))), "")</f>
        <v/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</row>
    <row r="65" spans="1:92" s="42" customFormat="1" ht="13" x14ac:dyDescent="0.3">
      <c r="A65" s="14"/>
      <c r="B65" s="35" t="s">
        <v>42</v>
      </c>
      <c r="C65" s="16">
        <f>C64+1</f>
        <v>47</v>
      </c>
      <c r="D65" s="100"/>
      <c r="E65" s="101"/>
      <c r="F65" s="101"/>
      <c r="G65" s="101"/>
      <c r="H65" s="101"/>
      <c r="I65" s="101"/>
      <c r="J65" s="101"/>
      <c r="K65" s="101"/>
      <c r="L65" s="105"/>
      <c r="M65" s="65"/>
      <c r="N65" s="5"/>
      <c r="O65" s="5" t="str">
        <f>IF(AND(ISNUMBER(M$62),ISNUMBER(M$66)),M$62-M$66,"")</f>
        <v/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</row>
    <row r="66" spans="1:92" s="42" customFormat="1" ht="13" x14ac:dyDescent="0.3">
      <c r="A66" s="14"/>
      <c r="B66" s="35" t="s">
        <v>43</v>
      </c>
      <c r="C66" s="16">
        <f t="shared" si="12"/>
        <v>48</v>
      </c>
      <c r="D66" s="106"/>
      <c r="E66" s="107"/>
      <c r="F66" s="107"/>
      <c r="G66" s="107"/>
      <c r="H66" s="107"/>
      <c r="I66" s="107"/>
      <c r="J66" s="107"/>
      <c r="K66" s="107"/>
      <c r="L66" s="102"/>
      <c r="M66" s="123" t="str">
        <f>IF(AND(ISNUMBER(M$62),ISNUMBER(M$65)),M$65-M$62,"")</f>
        <v/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</row>
    <row r="67" spans="1:92" s="5" customFormat="1" ht="13" x14ac:dyDescent="0.3">
      <c r="A67" s="14"/>
      <c r="B67" s="35" t="s">
        <v>44</v>
      </c>
      <c r="C67" s="16">
        <f>C66+1</f>
        <v>49</v>
      </c>
      <c r="D67" s="108"/>
      <c r="E67" s="109"/>
      <c r="F67" s="109"/>
      <c r="G67" s="109"/>
      <c r="H67" s="109"/>
      <c r="I67" s="109"/>
      <c r="J67" s="109"/>
      <c r="K67" s="109"/>
      <c r="L67" s="110"/>
      <c r="M67" s="123" t="str" cm="1">
        <f t="array" ref="M67">IF(AND(ISNUMBER(D$38:M$38)),AVERAGE(D$38:M$38)*15,"")</f>
        <v/>
      </c>
    </row>
    <row r="68" spans="1:92" s="5" customFormat="1" ht="13" x14ac:dyDescent="0.3">
      <c r="A68" s="14"/>
      <c r="B68" s="35" t="s">
        <v>45</v>
      </c>
      <c r="C68" s="16">
        <f>C67+1</f>
        <v>50</v>
      </c>
      <c r="D68" s="111"/>
      <c r="E68" s="112"/>
      <c r="F68" s="112"/>
      <c r="G68" s="112"/>
      <c r="H68" s="112"/>
      <c r="I68" s="112"/>
      <c r="J68" s="112"/>
      <c r="K68" s="112"/>
      <c r="L68" s="113"/>
      <c r="M68" s="131" t="str">
        <f>IF($D$9=0,1,IF(AND(ISNUMBER(M64),ISNUMBER(M67)),(LN(EXP(1)-1+(M67/M64)^0.8)),""))</f>
        <v/>
      </c>
    </row>
    <row r="69" spans="1:92" s="5" customFormat="1" x14ac:dyDescent="0.35">
      <c r="A69" s="19"/>
      <c r="C69" s="8"/>
      <c r="M69" s="20"/>
    </row>
    <row r="70" spans="1:92" s="5" customFormat="1" ht="15.5" x14ac:dyDescent="0.35">
      <c r="A70" s="29" t="s">
        <v>58</v>
      </c>
      <c r="B70" s="30"/>
      <c r="C70" s="31"/>
      <c r="D70" s="32"/>
      <c r="E70" s="32"/>
      <c r="F70" s="32"/>
      <c r="G70" s="32"/>
      <c r="H70" s="32"/>
      <c r="I70" s="32"/>
      <c r="J70" s="32"/>
      <c r="K70" s="32"/>
      <c r="L70" s="33"/>
      <c r="M70" s="34"/>
    </row>
    <row r="71" spans="1:92" s="5" customFormat="1" ht="13" x14ac:dyDescent="0.3">
      <c r="A71" s="14"/>
      <c r="B71" s="36" t="s">
        <v>46</v>
      </c>
      <c r="C71" s="16">
        <f>C68+1</f>
        <v>51</v>
      </c>
      <c r="D71" s="114"/>
      <c r="E71" s="115"/>
      <c r="F71" s="115"/>
      <c r="G71" s="115"/>
      <c r="H71" s="115"/>
      <c r="I71" s="115"/>
      <c r="J71" s="115"/>
      <c r="K71" s="115"/>
      <c r="L71" s="116"/>
      <c r="M71" s="123" t="str">
        <f>IF(AND(ISNUMBER(M$64),ISNUMBER(M$68)),M$64*M$68,"")</f>
        <v/>
      </c>
    </row>
    <row r="72" spans="1:92" s="5" customFormat="1" ht="13" x14ac:dyDescent="0.3">
      <c r="A72" s="14"/>
      <c r="B72" s="37" t="s">
        <v>47</v>
      </c>
      <c r="C72" s="16">
        <f t="shared" si="12"/>
        <v>52</v>
      </c>
      <c r="D72" s="106"/>
      <c r="E72" s="107"/>
      <c r="F72" s="107"/>
      <c r="G72" s="107"/>
      <c r="H72" s="107"/>
      <c r="I72" s="107"/>
      <c r="J72" s="107"/>
      <c r="K72" s="107"/>
      <c r="L72" s="102"/>
      <c r="M72" s="123" t="str">
        <f>IF(AND(ISNUMBER(M$64)),M$64,"")</f>
        <v/>
      </c>
    </row>
    <row r="73" spans="1:92" s="5" customFormat="1" ht="13" x14ac:dyDescent="0.3">
      <c r="A73" s="14"/>
      <c r="B73" s="36" t="s">
        <v>48</v>
      </c>
      <c r="C73" s="16">
        <f>C72+1</f>
        <v>53</v>
      </c>
      <c r="D73" s="108"/>
      <c r="E73" s="109"/>
      <c r="F73" s="109"/>
      <c r="G73" s="109"/>
      <c r="H73" s="109"/>
      <c r="I73" s="109"/>
      <c r="J73" s="109"/>
      <c r="K73" s="109"/>
      <c r="L73" s="110"/>
      <c r="M73" s="123" t="str">
        <f>IF(AND(ISNUMBER(M$71)),12.5*M$71,"")</f>
        <v/>
      </c>
    </row>
    <row r="74" spans="1:92" s="5" customFormat="1" ht="13" x14ac:dyDescent="0.3">
      <c r="A74" s="14"/>
      <c r="B74" s="37" t="s">
        <v>47</v>
      </c>
      <c r="C74" s="16">
        <f t="shared" si="12"/>
        <v>54</v>
      </c>
      <c r="D74" s="117"/>
      <c r="E74" s="118"/>
      <c r="F74" s="118"/>
      <c r="G74" s="118"/>
      <c r="H74" s="118"/>
      <c r="I74" s="118"/>
      <c r="J74" s="118"/>
      <c r="K74" s="118"/>
      <c r="L74" s="119"/>
      <c r="M74" s="123" t="str">
        <f>IF(AND(ISNUMBER(M$72)),12.5*M$72,"")</f>
        <v/>
      </c>
    </row>
    <row r="75" spans="1:92" x14ac:dyDescent="0.35">
      <c r="A75" s="132" t="s">
        <v>61</v>
      </c>
      <c r="B75" s="132"/>
      <c r="C75" s="16">
        <f t="shared" si="12"/>
        <v>55</v>
      </c>
      <c r="D75" s="133"/>
      <c r="E75" s="134"/>
      <c r="F75" s="135"/>
      <c r="G75" s="135"/>
      <c r="H75" s="135"/>
      <c r="I75" s="135"/>
      <c r="J75" s="135"/>
      <c r="K75" s="135"/>
      <c r="L75" s="135"/>
      <c r="M75" s="136"/>
    </row>
  </sheetData>
  <mergeCells count="2">
    <mergeCell ref="E46:M48"/>
    <mergeCell ref="E41:M43"/>
  </mergeCells>
  <conditionalFormatting sqref="A4:B1048576">
    <cfRule type="cellIs" dxfId="102" priority="4" stopIfTrue="1" operator="equal">
      <formula>"Pass"</formula>
    </cfRule>
    <cfRule type="cellIs" dxfId="101" priority="5" stopIfTrue="1" operator="equal">
      <formula>"Fail"</formula>
    </cfRule>
  </conditionalFormatting>
  <conditionalFormatting sqref="A2:N3">
    <cfRule type="cellIs" dxfId="100" priority="83" stopIfTrue="1" operator="equal">
      <formula>"Fail"</formula>
    </cfRule>
    <cfRule type="cellIs" dxfId="99" priority="82" stopIfTrue="1" operator="equal">
      <formula>"Pass"</formula>
    </cfRule>
  </conditionalFormatting>
  <conditionalFormatting sqref="C8">
    <cfRule type="cellIs" dxfId="98" priority="38" stopIfTrue="1" operator="equal">
      <formula>"Fail"</formula>
    </cfRule>
    <cfRule type="cellIs" dxfId="97" priority="37" stopIfTrue="1" operator="equal">
      <formula>"Pass"</formula>
    </cfRule>
  </conditionalFormatting>
  <conditionalFormatting sqref="C4:D4">
    <cfRule type="cellIs" dxfId="96" priority="53" stopIfTrue="1" operator="lessThan">
      <formula>0</formula>
    </cfRule>
  </conditionalFormatting>
  <conditionalFormatting sqref="C4:N4">
    <cfRule type="cellIs" dxfId="95" priority="51" stopIfTrue="1" operator="equal">
      <formula>"Pass"</formula>
    </cfRule>
    <cfRule type="cellIs" dxfId="94" priority="52" stopIfTrue="1" operator="equal">
      <formula>"Fail"</formula>
    </cfRule>
  </conditionalFormatting>
  <conditionalFormatting sqref="D9">
    <cfRule type="cellIs" dxfId="93" priority="20" stopIfTrue="1" operator="equal">
      <formula>"Pass"</formula>
    </cfRule>
    <cfRule type="cellIs" dxfId="92" priority="21" stopIfTrue="1" operator="equal">
      <formula>"Fail"</formula>
    </cfRule>
    <cfRule type="cellIs" dxfId="91" priority="22" stopIfTrue="1" operator="lessThan">
      <formula>0</formula>
    </cfRule>
  </conditionalFormatting>
  <conditionalFormatting sqref="D75">
    <cfRule type="cellIs" dxfId="90" priority="1" stopIfTrue="1" operator="equal">
      <formula>"Pass"</formula>
    </cfRule>
    <cfRule type="cellIs" dxfId="89" priority="2" stopIfTrue="1" operator="equal">
      <formula>"Fail"</formula>
    </cfRule>
    <cfRule type="cellIs" dxfId="88" priority="3" stopIfTrue="1" operator="lessThan">
      <formula>0</formula>
    </cfRule>
  </conditionalFormatting>
  <conditionalFormatting sqref="D41:E41 D42:D43">
    <cfRule type="cellIs" dxfId="87" priority="137" stopIfTrue="1" operator="equal">
      <formula>"Pass"</formula>
    </cfRule>
    <cfRule type="cellIs" dxfId="86" priority="138" stopIfTrue="1" operator="equal">
      <formula>"Fail"</formula>
    </cfRule>
  </conditionalFormatting>
  <conditionalFormatting sqref="D31:H31">
    <cfRule type="cellIs" dxfId="85" priority="117" stopIfTrue="1" operator="equal">
      <formula>"Pass"</formula>
    </cfRule>
    <cfRule type="cellIs" dxfId="84" priority="118" stopIfTrue="1" operator="equal">
      <formula>"Fail"</formula>
    </cfRule>
  </conditionalFormatting>
  <conditionalFormatting sqref="D60:H60">
    <cfRule type="cellIs" dxfId="83" priority="108" stopIfTrue="1" operator="equal">
      <formula>"Fail"</formula>
    </cfRule>
    <cfRule type="cellIs" dxfId="82" priority="109" stopIfTrue="1" operator="lessThan">
      <formula>0</formula>
    </cfRule>
    <cfRule type="cellIs" dxfId="81" priority="107" stopIfTrue="1" operator="equal">
      <formula>"Pass"</formula>
    </cfRule>
  </conditionalFormatting>
  <conditionalFormatting sqref="D5:J8 K7:N9 E9:J9 D10:J31 K50:K58 I60:J60 D61:J64 N75 D76:N1048576">
    <cfRule type="cellIs" dxfId="80" priority="148" stopIfTrue="1" operator="equal">
      <formula>"Fail"</formula>
    </cfRule>
  </conditionalFormatting>
  <conditionalFormatting sqref="D10:J31 I60:J60 D61:J64 D5:J8 E9:J9 K7:N9 K50:K58 N75 D76:N1048576">
    <cfRule type="cellIs" dxfId="79" priority="147" stopIfTrue="1" operator="equal">
      <formula>"Pass"</formula>
    </cfRule>
  </conditionalFormatting>
  <conditionalFormatting sqref="D11:J13">
    <cfRule type="cellIs" dxfId="78" priority="131" stopIfTrue="1" operator="lessThan">
      <formula>0</formula>
    </cfRule>
    <cfRule type="cellIs" dxfId="77" priority="130" stopIfTrue="1" operator="equal">
      <formula>"Fail"</formula>
    </cfRule>
    <cfRule type="cellIs" dxfId="76" priority="129" stopIfTrue="1" operator="equal">
      <formula>"Pass"</formula>
    </cfRule>
  </conditionalFormatting>
  <conditionalFormatting sqref="D17:J20">
    <cfRule type="cellIs" dxfId="75" priority="128" stopIfTrue="1" operator="lessThan">
      <formula>0</formula>
    </cfRule>
  </conditionalFormatting>
  <conditionalFormatting sqref="D17:J29">
    <cfRule type="cellIs" dxfId="74" priority="110" stopIfTrue="1" operator="equal">
      <formula>"Pass"</formula>
    </cfRule>
    <cfRule type="cellIs" dxfId="73" priority="111" stopIfTrue="1" operator="equal">
      <formula>"Fail"</formula>
    </cfRule>
  </conditionalFormatting>
  <conditionalFormatting sqref="D22:J27 D29:J29">
    <cfRule type="cellIs" dxfId="72" priority="125" stopIfTrue="1" operator="lessThan">
      <formula>0</formula>
    </cfRule>
  </conditionalFormatting>
  <conditionalFormatting sqref="D32:J32">
    <cfRule type="cellIs" dxfId="71" priority="122" stopIfTrue="1" operator="equal">
      <formula>"Fail"</formula>
    </cfRule>
    <cfRule type="cellIs" dxfId="70" priority="121" stopIfTrue="1" operator="equal">
      <formula>"Pass"</formula>
    </cfRule>
  </conditionalFormatting>
  <conditionalFormatting sqref="D57:J67">
    <cfRule type="cellIs" dxfId="69" priority="133" stopIfTrue="1" operator="equal">
      <formula>"Fail"</formula>
    </cfRule>
    <cfRule type="cellIs" dxfId="68" priority="132" stopIfTrue="1" operator="equal">
      <formula>"Pass"</formula>
    </cfRule>
  </conditionalFormatting>
  <conditionalFormatting sqref="D68:J74">
    <cfRule type="cellIs" dxfId="67" priority="86" stopIfTrue="1" operator="equal">
      <formula>"Pass"</formula>
    </cfRule>
    <cfRule type="cellIs" dxfId="66" priority="87" stopIfTrue="1" operator="equal">
      <formula>"Fail"</formula>
    </cfRule>
  </conditionalFormatting>
  <conditionalFormatting sqref="D34:M36">
    <cfRule type="cellIs" dxfId="65" priority="10" stopIfTrue="1" operator="lessThan">
      <formula>0</formula>
    </cfRule>
    <cfRule type="cellIs" dxfId="64" priority="9" stopIfTrue="1" operator="equal">
      <formula>"Fail"</formula>
    </cfRule>
    <cfRule type="cellIs" dxfId="63" priority="8" stopIfTrue="1" operator="equal">
      <formula>"Pass"</formula>
    </cfRule>
  </conditionalFormatting>
  <conditionalFormatting sqref="D38:M38">
    <cfRule type="cellIs" dxfId="62" priority="43" stopIfTrue="1" operator="lessThan">
      <formula>0</formula>
    </cfRule>
  </conditionalFormatting>
  <conditionalFormatting sqref="D39:M39">
    <cfRule type="cellIs" dxfId="61" priority="16" stopIfTrue="1" operator="lessThan">
      <formula>0</formula>
    </cfRule>
    <cfRule type="cellIs" dxfId="60" priority="15" stopIfTrue="1" operator="equal">
      <formula>"Fail"</formula>
    </cfRule>
    <cfRule type="cellIs" dxfId="59" priority="14" stopIfTrue="1" operator="equal">
      <formula>"Pass"</formula>
    </cfRule>
  </conditionalFormatting>
  <conditionalFormatting sqref="D44:M44">
    <cfRule type="cellIs" dxfId="58" priority="12" stopIfTrue="1" operator="equal">
      <formula>"Fail"</formula>
    </cfRule>
    <cfRule type="cellIs" dxfId="57" priority="13" stopIfTrue="1" operator="lessThan">
      <formula>0</formula>
    </cfRule>
    <cfRule type="cellIs" dxfId="56" priority="11" stopIfTrue="1" operator="equal">
      <formula>"Pass"</formula>
    </cfRule>
  </conditionalFormatting>
  <conditionalFormatting sqref="D45:M45">
    <cfRule type="cellIs" dxfId="55" priority="116" stopIfTrue="1" operator="equal">
      <formula>"Fail"</formula>
    </cfRule>
    <cfRule type="cellIs" dxfId="54" priority="115" stopIfTrue="1" operator="equal">
      <formula>"Pass"</formula>
    </cfRule>
  </conditionalFormatting>
  <conditionalFormatting sqref="D32:N32">
    <cfRule type="cellIs" dxfId="53" priority="184" stopIfTrue="1" operator="equal">
      <formula>"Fail"</formula>
    </cfRule>
  </conditionalFormatting>
  <conditionalFormatting sqref="D32:N33">
    <cfRule type="cellIs" dxfId="52" priority="183" stopIfTrue="1" operator="equal">
      <formula>"Pass"</formula>
    </cfRule>
  </conditionalFormatting>
  <conditionalFormatting sqref="D38:N38">
    <cfRule type="cellIs" dxfId="51" priority="42" stopIfTrue="1" operator="equal">
      <formula>"Fail"</formula>
    </cfRule>
    <cfRule type="cellIs" dxfId="50" priority="41" stopIfTrue="1" operator="equal">
      <formula>"Pass"</formula>
    </cfRule>
  </conditionalFormatting>
  <conditionalFormatting sqref="E75">
    <cfRule type="cellIs" dxfId="49" priority="7" stopIfTrue="1" operator="equal">
      <formula>"Fail"</formula>
    </cfRule>
    <cfRule type="cellIs" dxfId="48" priority="6" stopIfTrue="1" operator="equal">
      <formula>"Pass"</formula>
    </cfRule>
  </conditionalFormatting>
  <conditionalFormatting sqref="E5:N5">
    <cfRule type="cellIs" dxfId="47" priority="60" stopIfTrue="1" operator="equal">
      <formula>"Fail"</formula>
    </cfRule>
  </conditionalFormatting>
  <conditionalFormatting sqref="I5:J33 I37:J38 I40:J40">
    <cfRule type="cellIs" dxfId="46" priority="63" stopIfTrue="1" operator="lessThan">
      <formula>0</formula>
    </cfRule>
  </conditionalFormatting>
  <conditionalFormatting sqref="I59:J65 K60:K64 K65:M65">
    <cfRule type="cellIs" dxfId="45" priority="195" stopIfTrue="1" operator="equal">
      <formula>"Fail"</formula>
    </cfRule>
    <cfRule type="cellIs" dxfId="44" priority="194" stopIfTrue="1" operator="equal">
      <formula>"Pass"</formula>
    </cfRule>
  </conditionalFormatting>
  <conditionalFormatting sqref="I60:K60">
    <cfRule type="cellIs" dxfId="43" priority="169" stopIfTrue="1" operator="lessThan">
      <formula>0</formula>
    </cfRule>
    <cfRule type="cellIs" dxfId="42" priority="168" stopIfTrue="1" operator="equal">
      <formula>"Fail"</formula>
    </cfRule>
  </conditionalFormatting>
  <conditionalFormatting sqref="I21:M21">
    <cfRule type="cellIs" dxfId="41" priority="145" stopIfTrue="1" operator="equal">
      <formula>"Pass"</formula>
    </cfRule>
    <cfRule type="cellIs" dxfId="40" priority="146" stopIfTrue="1" operator="equal">
      <formula>"Fail"</formula>
    </cfRule>
  </conditionalFormatting>
  <conditionalFormatting sqref="I45:M45">
    <cfRule type="cellIs" dxfId="39" priority="134" stopIfTrue="1" operator="equal">
      <formula>"Pass"</formula>
    </cfRule>
    <cfRule type="cellIs" dxfId="38" priority="135" stopIfTrue="1" operator="equal">
      <formula>"Fail"</formula>
    </cfRule>
  </conditionalFormatting>
  <conditionalFormatting sqref="I60:N60">
    <cfRule type="cellIs" dxfId="37" priority="167" stopIfTrue="1" operator="equal">
      <formula>"Pass"</formula>
    </cfRule>
  </conditionalFormatting>
  <conditionalFormatting sqref="I67:N74">
    <cfRule type="cellIs" dxfId="36" priority="149" stopIfTrue="1" operator="equal">
      <formula>"Pass"</formula>
    </cfRule>
    <cfRule type="cellIs" dxfId="35" priority="150" stopIfTrue="1" operator="equal">
      <formula>"Fail"</formula>
    </cfRule>
  </conditionalFormatting>
  <conditionalFormatting sqref="J68">
    <cfRule type="cellIs" dxfId="34" priority="100" stopIfTrue="1" operator="lessThan">
      <formula>0</formula>
    </cfRule>
  </conditionalFormatting>
  <conditionalFormatting sqref="K6:M9 N6:N13 D7:J8 E9:J9 K14:N16 N17:N29 N34:N37 N39:N41 D46:E46 D47:D49 D50:H56 M50:N56 K57:N59 I61:N63 I64:L64 N64:N66 I66:L66 N32 D33:N33 L60:N60">
    <cfRule type="cellIs" dxfId="33" priority="208" stopIfTrue="1" operator="equal">
      <formula>"Fail"</formula>
    </cfRule>
  </conditionalFormatting>
  <conditionalFormatting sqref="K11:M12">
    <cfRule type="cellIs" dxfId="32" priority="32" stopIfTrue="1" operator="equal">
      <formula>"Pass"</formula>
    </cfRule>
    <cfRule type="cellIs" dxfId="31" priority="33" stopIfTrue="1" operator="equal">
      <formula>"Fail"</formula>
    </cfRule>
    <cfRule type="cellIs" dxfId="30" priority="34" stopIfTrue="1" operator="lessThan">
      <formula>0</formula>
    </cfRule>
  </conditionalFormatting>
  <conditionalFormatting sqref="K17:M20">
    <cfRule type="cellIs" dxfId="29" priority="30" stopIfTrue="1" operator="equal">
      <formula>"Fail"</formula>
    </cfRule>
    <cfRule type="cellIs" dxfId="28" priority="29" stopIfTrue="1" operator="equal">
      <formula>"Pass"</formula>
    </cfRule>
    <cfRule type="cellIs" dxfId="27" priority="31" stopIfTrue="1" operator="lessThan">
      <formula>0</formula>
    </cfRule>
  </conditionalFormatting>
  <conditionalFormatting sqref="K22:M29">
    <cfRule type="cellIs" dxfId="26" priority="26" stopIfTrue="1" operator="equal">
      <formula>"Pass"</formula>
    </cfRule>
    <cfRule type="cellIs" dxfId="25" priority="27" stopIfTrue="1" operator="equal">
      <formula>"Fail"</formula>
    </cfRule>
    <cfRule type="cellIs" dxfId="24" priority="28" stopIfTrue="1" operator="lessThan">
      <formula>0</formula>
    </cfRule>
  </conditionalFormatting>
  <conditionalFormatting sqref="K30:N31">
    <cfRule type="cellIs" dxfId="23" priority="178" stopIfTrue="1" operator="equal">
      <formula>"Fail"</formula>
    </cfRule>
    <cfRule type="cellIs" dxfId="22" priority="177" stopIfTrue="1" operator="equal">
      <formula>"Pass"</formula>
    </cfRule>
  </conditionalFormatting>
  <conditionalFormatting sqref="L45:M45">
    <cfRule type="cellIs" dxfId="21" priority="196" stopIfTrue="1" operator="equal">
      <formula>"Pass"</formula>
    </cfRule>
    <cfRule type="cellIs" dxfId="20" priority="197" stopIfTrue="1" operator="equal">
      <formula>"Fail"</formula>
    </cfRule>
  </conditionalFormatting>
  <conditionalFormatting sqref="M50:M52">
    <cfRule type="cellIs" dxfId="19" priority="79" stopIfTrue="1" operator="lessThan">
      <formula>0</formula>
    </cfRule>
    <cfRule type="cellIs" dxfId="18" priority="78" stopIfTrue="1" operator="equal">
      <formula>"Fail"</formula>
    </cfRule>
    <cfRule type="cellIs" dxfId="17" priority="77" stopIfTrue="1" operator="equal">
      <formula>"Pass"</formula>
    </cfRule>
  </conditionalFormatting>
  <conditionalFormatting sqref="M50:M56">
    <cfRule type="cellIs" dxfId="16" priority="72" stopIfTrue="1" operator="equal">
      <formula>"Pass"</formula>
    </cfRule>
    <cfRule type="cellIs" dxfId="15" priority="73" stopIfTrue="1" operator="equal">
      <formula>"Fail"</formula>
    </cfRule>
  </conditionalFormatting>
  <conditionalFormatting sqref="M54:M56">
    <cfRule type="cellIs" dxfId="14" priority="76" stopIfTrue="1" operator="lessThan">
      <formula>0</formula>
    </cfRule>
    <cfRule type="cellIs" dxfId="13" priority="75" stopIfTrue="1" operator="equal">
      <formula>"Fail"</formula>
    </cfRule>
    <cfRule type="cellIs" dxfId="12" priority="74" stopIfTrue="1" operator="equal">
      <formula>"Pass"</formula>
    </cfRule>
  </conditionalFormatting>
  <conditionalFormatting sqref="M66">
    <cfRule type="cellIs" dxfId="11" priority="35" stopIfTrue="1" operator="equal">
      <formula>"Pass"</formula>
    </cfRule>
    <cfRule type="cellIs" dxfId="10" priority="36" stopIfTrue="1" operator="equal">
      <formula>"Fail"</formula>
    </cfRule>
  </conditionalFormatting>
  <conditionalFormatting sqref="M68">
    <cfRule type="cellIs" dxfId="9" priority="163" stopIfTrue="1" operator="lessThan">
      <formula>0</formula>
    </cfRule>
  </conditionalFormatting>
  <conditionalFormatting sqref="N6:N13 N17:N29 N34:N37 N39:N41 N64:N66 I61:N63 I64:L64 K6:M9 D7:J8 E9:J9 K57:N59 I66:L66 M50:N56 K14:N16 D46:E46 D47:D49 D50:H56">
    <cfRule type="cellIs" dxfId="8" priority="207" stopIfTrue="1" operator="equal">
      <formula>"Pass"</formula>
    </cfRule>
  </conditionalFormatting>
  <conditionalFormatting sqref="N11:N13 L21:N21 N34:N37 N39:N41 N65">
    <cfRule type="cellIs" dxfId="7" priority="206" stopIfTrue="1" operator="equal">
      <formula>"Fail"</formula>
    </cfRule>
  </conditionalFormatting>
  <conditionalFormatting sqref="N17:N20">
    <cfRule type="cellIs" dxfId="6" priority="188" stopIfTrue="1" operator="equal">
      <formula>"Pass"</formula>
    </cfRule>
    <cfRule type="cellIs" dxfId="5" priority="189" stopIfTrue="1" operator="equal">
      <formula>"Fail"</formula>
    </cfRule>
  </conditionalFormatting>
  <conditionalFormatting sqref="N22:N29">
    <cfRule type="cellIs" dxfId="4" priority="185" stopIfTrue="1" operator="equal">
      <formula>"Pass"</formula>
    </cfRule>
    <cfRule type="cellIs" dxfId="3" priority="186" stopIfTrue="1" operator="equal">
      <formula>"Fail"</formula>
    </cfRule>
  </conditionalFormatting>
  <conditionalFormatting sqref="N32:N65 L21:N21 N11:N13">
    <cfRule type="cellIs" dxfId="2" priority="205" stopIfTrue="1" operator="equal">
      <formula>"Pass"</formula>
    </cfRule>
  </conditionalFormatting>
  <conditionalFormatting sqref="N38 E5:N5">
    <cfRule type="cellIs" dxfId="1" priority="49" stopIfTrue="1" operator="equal">
      <formula>"Pass"</formula>
    </cfRule>
  </conditionalFormatting>
  <conditionalFormatting sqref="N38">
    <cfRule type="cellIs" dxfId="0" priority="50" stopIfTrue="1" operator="equal">
      <formula>"Fail"</formula>
    </cfRule>
  </conditionalFormatting>
  <dataValidations count="2">
    <dataValidation type="list" operator="notBetween" allowBlank="1" showInputMessage="1" showErrorMessage="1" sqref="D9" xr:uid="{DD85AD97-A50B-45FD-BB47-4CF28B09376F}">
      <formula1>"1,0"</formula1>
    </dataValidation>
    <dataValidation type="list" allowBlank="1" showInputMessage="1" showErrorMessage="1" sqref="D4" xr:uid="{C263EB42-74EE-477B-B9D9-A0F439E9282B}">
      <formula1>"Yes,No,Not Applicable"</formula1>
    </dataValidation>
  </dataValidations>
  <pageMargins left="0.39370078740157483" right="0.39370078740157483" top="0.39370078740157483" bottom="0.39370078740157483" header="0.19685039370078741" footer="0.19685039370078741"/>
  <pageSetup paperSize="9" scale="52" fitToHeight="10" orientation="landscape" verticalDpi="1200" r:id="rId1"/>
  <headerFooter>
    <oddFooter>&amp;LOperational risk: Regulatory Capital BA Return&amp;R&amp;P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875-9F61-4D81-92A0-78F69B66A373}">
  <dimension ref="C1:F11"/>
  <sheetViews>
    <sheetView workbookViewId="0">
      <selection activeCell="D11" sqref="D11"/>
    </sheetView>
  </sheetViews>
  <sheetFormatPr defaultRowHeight="14.5" x14ac:dyDescent="0.35"/>
  <cols>
    <col min="3" max="5" width="28.90625" customWidth="1"/>
  </cols>
  <sheetData>
    <row r="1" spans="3:6" ht="15" thickBot="1" x14ac:dyDescent="0.4"/>
    <row r="2" spans="3:6" ht="31" customHeight="1" thickBot="1" x14ac:dyDescent="0.4">
      <c r="C2" s="146" t="s">
        <v>53</v>
      </c>
      <c r="D2" s="147"/>
      <c r="E2" s="148"/>
    </row>
    <row r="3" spans="3:6" ht="16" thickBot="1" x14ac:dyDescent="0.4">
      <c r="C3" s="62" t="s">
        <v>40</v>
      </c>
      <c r="D3" s="63" t="s">
        <v>52</v>
      </c>
      <c r="E3" s="63" t="s">
        <v>51</v>
      </c>
    </row>
    <row r="4" spans="3:6" ht="16" thickBot="1" x14ac:dyDescent="0.4">
      <c r="C4" s="62">
        <v>1</v>
      </c>
      <c r="D4" s="61" t="s">
        <v>62</v>
      </c>
      <c r="E4" s="60">
        <v>0.12</v>
      </c>
    </row>
    <row r="5" spans="3:6" ht="16" thickBot="1" x14ac:dyDescent="0.4">
      <c r="C5" s="62">
        <v>2</v>
      </c>
      <c r="D5" s="61" t="s">
        <v>63</v>
      </c>
      <c r="E5" s="60">
        <v>0.15</v>
      </c>
    </row>
    <row r="6" spans="3:6" ht="16" thickBot="1" x14ac:dyDescent="0.4">
      <c r="C6" s="62">
        <v>3</v>
      </c>
      <c r="D6" s="61" t="s">
        <v>64</v>
      </c>
      <c r="E6" s="60">
        <v>0.18</v>
      </c>
    </row>
    <row r="9" spans="3:6" ht="16" thickBot="1" x14ac:dyDescent="0.4">
      <c r="C9" s="58">
        <v>0.12</v>
      </c>
      <c r="D9" s="57">
        <v>5000000000</v>
      </c>
      <c r="E9" s="59">
        <f>C9*D9</f>
        <v>600000000</v>
      </c>
      <c r="F9" s="55" t="s">
        <v>65</v>
      </c>
    </row>
    <row r="10" spans="3:6" ht="16.5" thickTop="1" thickBot="1" x14ac:dyDescent="0.4">
      <c r="C10" s="58">
        <v>0.15</v>
      </c>
      <c r="D10" s="57">
        <f>150000000000-D9</f>
        <v>145000000000</v>
      </c>
      <c r="E10" s="56">
        <f>E9+ (C10*D10)</f>
        <v>22350000000</v>
      </c>
      <c r="F10" s="55" t="s">
        <v>66</v>
      </c>
    </row>
    <row r="11" spans="3:6" ht="15" thickTop="1" x14ac:dyDescent="0.35"/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 400</vt:lpstr>
      <vt:lpstr>Calculations</vt:lpstr>
      <vt:lpstr>'BA 400'!Print_Area</vt:lpstr>
      <vt:lpstr>'BA 400'!Print_Titles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Magagula, T. (Tibusiso) (Group Risk)</dc:creator>
  <cp:lastModifiedBy>Itumeleng Makheme</cp:lastModifiedBy>
  <cp:lastPrinted>2021-09-09T16:08:51Z</cp:lastPrinted>
  <dcterms:created xsi:type="dcterms:W3CDTF">2021-09-09T14:35:32Z</dcterms:created>
  <dcterms:modified xsi:type="dcterms:W3CDTF">2023-10-05T09:37:36Z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2021-09-09T14:35:33Z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43d75d29-9783-416d-a78c-b054a1ff9b34</vt:lpwstr>
  </property>
  <property fmtid="{D5CDD505-2E9C-101B-9397-08002B2CF9AE}" pid="8" name="MSIP_Label_fb3ff2d6-7c2c-441b-97b8-52c111077da7_ContentBits">
    <vt:lpwstr>0</vt:lpwstr>
  </property>
  <property fmtid="{D5CDD505-2E9C-101B-9397-08002B2CF9AE}" pid="9" name="MSIP_Label_70c52299-74de-4dfd-b117-c9c408edfa50_Enabled">
    <vt:lpwstr>true</vt:lpwstr>
  </property>
  <property fmtid="{D5CDD505-2E9C-101B-9397-08002B2CF9AE}" pid="10" name="MSIP_Label_70c52299-74de-4dfd-b117-c9c408edfa50_SetDate">
    <vt:lpwstr>2021-10-15T11:44:09Z</vt:lpwstr>
  </property>
  <property fmtid="{D5CDD505-2E9C-101B-9397-08002B2CF9AE}" pid="11" name="MSIP_Label_70c52299-74de-4dfd-b117-c9c408edfa50_Method">
    <vt:lpwstr>Standard</vt:lpwstr>
  </property>
  <property fmtid="{D5CDD505-2E9C-101B-9397-08002B2CF9AE}" pid="12" name="MSIP_Label_70c52299-74de-4dfd-b117-c9c408edfa50_Name">
    <vt:lpwstr>Restricted</vt:lpwstr>
  </property>
  <property fmtid="{D5CDD505-2E9C-101B-9397-08002B2CF9AE}" pid="13" name="MSIP_Label_70c52299-74de-4dfd-b117-c9c408edfa50_SiteId">
    <vt:lpwstr>853cbaab-a620-4178-8933-88d76414184a</vt:lpwstr>
  </property>
  <property fmtid="{D5CDD505-2E9C-101B-9397-08002B2CF9AE}" pid="14" name="MSIP_Label_70c52299-74de-4dfd-b117-c9c408edfa50_ActionId">
    <vt:lpwstr>7b2cab59-224f-4948-bc0b-d65b631022a0</vt:lpwstr>
  </property>
  <property fmtid="{D5CDD505-2E9C-101B-9397-08002B2CF9AE}" pid="15" name="MSIP_Label_70c52299-74de-4dfd-b117-c9c408edfa50_ContentBits">
    <vt:lpwstr>0</vt:lpwstr>
  </property>
</Properties>
</file>