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selRegulations\Basel II Regulations\Basel III enhancements\2021_2022 amendments\"/>
    </mc:Choice>
  </mc:AlternateContent>
  <xr:revisionPtr revIDLastSave="0" documentId="8_{F7BD368D-2874-4DCF-8E16-A3712A716229}" xr6:coauthVersionLast="47" xr6:coauthVersionMax="47" xr10:uidLastSave="{00000000-0000-0000-0000-000000000000}"/>
  <bookViews>
    <workbookView xWindow="28680" yWindow="-120" windowWidth="29040" windowHeight="15840" xr2:uid="{6D41C7AB-CF78-48E6-8452-816C4A213045}"/>
  </bookViews>
  <sheets>
    <sheet name="BA 400" sheetId="4" r:id="rId1"/>
  </sheets>
  <definedNames>
    <definedName name="_xlnm.Print_Area" localSheetId="0">'BA 400'!$A:$N</definedName>
    <definedName name="_xlnm.Print_Titles" localSheetId="0">'BA 400'!$14:$15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3" i="4" l="1" a="1"/>
  <c r="M73" i="4" s="1"/>
  <c r="M72" i="4"/>
  <c r="M61" i="4" l="1"/>
  <c r="M60" i="4"/>
  <c r="M59" i="4"/>
  <c r="M58" i="4"/>
  <c r="M57" i="4"/>
  <c r="M56" i="4"/>
  <c r="D43" i="4" l="1"/>
  <c r="D11" i="4" l="1"/>
  <c r="D48" i="4"/>
  <c r="M44" i="4"/>
  <c r="M43" i="4"/>
  <c r="M67" i="4" l="1" a="1"/>
  <c r="M67" i="4" s="1"/>
  <c r="M66" i="4" a="1"/>
  <c r="M66" i="4" s="1"/>
  <c r="B54" i="4"/>
  <c r="D53" i="4"/>
  <c r="B53" i="4"/>
  <c r="B49" i="4"/>
  <c r="B48" i="4"/>
  <c r="D46" i="4" l="1"/>
  <c r="E46" i="4"/>
  <c r="F46" i="4"/>
  <c r="G46" i="4"/>
  <c r="H46" i="4"/>
  <c r="I46" i="4"/>
  <c r="J46" i="4"/>
  <c r="K46" i="4"/>
  <c r="L46" i="4"/>
  <c r="M46" i="4"/>
  <c r="B46" i="4"/>
  <c r="E43" i="4"/>
  <c r="F43" i="4"/>
  <c r="G43" i="4"/>
  <c r="H43" i="4"/>
  <c r="I43" i="4"/>
  <c r="J43" i="4"/>
  <c r="K43" i="4"/>
  <c r="L43" i="4"/>
  <c r="B43" i="4"/>
  <c r="M22" i="4"/>
  <c r="K19" i="4"/>
  <c r="L19" i="4"/>
  <c r="M19" i="4"/>
  <c r="B19" i="4"/>
  <c r="M51" i="4" l="1"/>
  <c r="L44" i="4"/>
  <c r="L51" i="4" s="1"/>
  <c r="K44" i="4"/>
  <c r="J44" i="4"/>
  <c r="J51" i="4" s="1"/>
  <c r="I44" i="4"/>
  <c r="I51" i="4" s="1"/>
  <c r="H44" i="4"/>
  <c r="H51" i="4" s="1"/>
  <c r="G44" i="4"/>
  <c r="G51" i="4" s="1"/>
  <c r="F44" i="4"/>
  <c r="F51" i="4" s="1"/>
  <c r="E44" i="4"/>
  <c r="E51" i="4" s="1"/>
  <c r="D44" i="4"/>
  <c r="M27" i="4"/>
  <c r="L27" i="4"/>
  <c r="K27" i="4"/>
  <c r="L22" i="4"/>
  <c r="K22" i="4"/>
  <c r="C18" i="4"/>
  <c r="E15" i="4"/>
  <c r="F15" i="4" s="1"/>
  <c r="G15" i="4" s="1"/>
  <c r="H15" i="4" s="1"/>
  <c r="I15" i="4" s="1"/>
  <c r="J15" i="4" s="1"/>
  <c r="K15" i="4" s="1"/>
  <c r="L15" i="4" s="1"/>
  <c r="M15" i="4" s="1"/>
  <c r="D49" i="4" l="1"/>
  <c r="M65" i="4" a="1"/>
  <c r="M65" i="4" s="1"/>
  <c r="M68" i="4" s="1"/>
  <c r="M70" i="4" s="1"/>
  <c r="M74" i="4" s="1"/>
  <c r="K51" i="4"/>
  <c r="C19" i="4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40" i="4" s="1"/>
  <c r="C41" i="4" s="1"/>
  <c r="C42" i="4" s="1"/>
  <c r="D51" i="4"/>
  <c r="M62" i="4" l="1"/>
  <c r="D54" i="4"/>
  <c r="M69" i="4"/>
  <c r="O71" i="4"/>
  <c r="C43" i="4"/>
  <c r="C44" i="4" s="1"/>
  <c r="C45" i="4" s="1"/>
  <c r="C46" i="4" l="1"/>
  <c r="C47" i="4" s="1"/>
  <c r="C48" i="4" s="1"/>
  <c r="C49" i="4" s="1"/>
  <c r="C50" i="4" s="1"/>
  <c r="C51" i="4" s="1"/>
  <c r="C52" i="4" s="1"/>
  <c r="M77" i="4"/>
  <c r="M79" i="4" s="1"/>
  <c r="M78" i="4"/>
  <c r="M80" i="4" s="1"/>
  <c r="C53" i="4" l="1"/>
  <c r="C54" i="4" s="1"/>
  <c r="C56" i="4" s="1"/>
  <c r="C57" i="4" s="1"/>
  <c r="C58" i="4" s="1"/>
  <c r="C59" i="4" s="1"/>
  <c r="C60" i="4" s="1"/>
  <c r="C61" i="4" s="1"/>
  <c r="C62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7" i="4" s="1"/>
  <c r="C78" i="4" s="1"/>
  <c r="C79" i="4" s="1"/>
  <c r="C8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<sst xmlns="http://schemas.openxmlformats.org/spreadsheetml/2006/main" count="80" uniqueCount="69">
  <si>
    <t>Operational Risk: Regulatory Capital BA Return</t>
  </si>
  <si>
    <t>Name of Bank:</t>
  </si>
  <si>
    <t>Some Bank</t>
  </si>
  <si>
    <t>Consolidation Level:</t>
  </si>
  <si>
    <t>Group Ltd</t>
  </si>
  <si>
    <t>Reporting Period:</t>
  </si>
  <si>
    <t>Are losses used to calculate the ILM</t>
  </si>
  <si>
    <t>Yes</t>
  </si>
  <si>
    <t>If "no", is the exclusion of internal loss data due to non-compliance with the minimum loss data standards</t>
  </si>
  <si>
    <t>Not Applicable</t>
  </si>
  <si>
    <t>FX Rate</t>
  </si>
  <si>
    <t>Reporting Units</t>
  </si>
  <si>
    <t>Year-3</t>
  </si>
  <si>
    <t>Year-2</t>
  </si>
  <si>
    <t>Year-1</t>
  </si>
  <si>
    <t>A) Balance sheet and other items</t>
  </si>
  <si>
    <t>Total assets</t>
  </si>
  <si>
    <t>of which: interest-earning assets (including lease assets)</t>
  </si>
  <si>
    <t>B) Income statement</t>
  </si>
  <si>
    <t>Gross income</t>
  </si>
  <si>
    <t>Interest income of which:</t>
  </si>
  <si>
    <t>Income from financial and operational lease</t>
  </si>
  <si>
    <t>Interest expenses of which:</t>
  </si>
  <si>
    <t>Expenses from financial and operational lease</t>
  </si>
  <si>
    <t>Absolute value of net interest income (including financial and operational lease)</t>
  </si>
  <si>
    <t>Dividend income</t>
  </si>
  <si>
    <t>Fee and commission income</t>
  </si>
  <si>
    <t>Fee and commission expenses</t>
  </si>
  <si>
    <t>Net profit (loss) on financial operations (trading book)</t>
  </si>
  <si>
    <t>Net profit (loss) on financial operations (non-trading book)</t>
  </si>
  <si>
    <t>Other operating income</t>
  </si>
  <si>
    <t>Net adjustments to gross income</t>
  </si>
  <si>
    <t>Other operating expenses</t>
  </si>
  <si>
    <t>C) Operational risk losses whole bank (according to relevant financial year-end)</t>
  </si>
  <si>
    <t>Year-10</t>
  </si>
  <si>
    <t>Year-9</t>
  </si>
  <si>
    <t>Year-8</t>
  </si>
  <si>
    <t>Year-7</t>
  </si>
  <si>
    <t>Year-6</t>
  </si>
  <si>
    <t>Year-5</t>
  </si>
  <si>
    <t>Year-4</t>
  </si>
  <si>
    <t>Total amount of gross losses</t>
  </si>
  <si>
    <t>Total amount of loss recoveries</t>
  </si>
  <si>
    <t xml:space="preserve">   of which: insurance recoveries</t>
  </si>
  <si>
    <t>Total amount of net losses</t>
  </si>
  <si>
    <t>Number of loss events contributing to total gross losses</t>
  </si>
  <si>
    <t>Number of loss events in the ten year window</t>
  </si>
  <si>
    <t>Total amount of net losses qualifying for exclusion (per supervisory approval)</t>
  </si>
  <si>
    <t>Total net losses after exclusion of qualifying losses</t>
  </si>
  <si>
    <t>Number of loss events qualifying for exclusion in the ten year window  (per supervisory approval)</t>
  </si>
  <si>
    <t>D) Standardised approach component calculations</t>
  </si>
  <si>
    <t>Interest, leases and dividend component (ILDC)</t>
  </si>
  <si>
    <t>Services  component (SC)</t>
  </si>
  <si>
    <t>Financial  Component (FC)</t>
  </si>
  <si>
    <t>Business Indicator (BI)</t>
  </si>
  <si>
    <t>Bucket</t>
  </si>
  <si>
    <t>BI Component (BIC)</t>
  </si>
  <si>
    <t>BI gross of excluded divested activities  (per supervisory approval)</t>
  </si>
  <si>
    <t>Reduction in BI due to excluded divested activities</t>
  </si>
  <si>
    <t>Loss Component (LC)</t>
  </si>
  <si>
    <t>Internal Loss Multiplier (ILM)</t>
  </si>
  <si>
    <t>E) Operational Risk Capital</t>
  </si>
  <si>
    <t>Operational Risk Capital</t>
  </si>
  <si>
    <t xml:space="preserve"> With ILM set to 1</t>
  </si>
  <si>
    <t>Operational Risk Weighted Assets</t>
  </si>
  <si>
    <t>Bank's information</t>
  </si>
  <si>
    <t>Row no</t>
  </si>
  <si>
    <t>Loss events netting ≥ ZAR 350K</t>
  </si>
  <si>
    <t>Loss Threshold (ZAR)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</si>
</sst>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yyyy\-mm\-dd"/>
    <numFmt numFmtId="165" formatCode="#,##0.0000;[Red]\-#,##0.0000"/>
    <numFmt numFmtId="166" formatCode="#,##0.000_ ;[Red]\-#,##0.000\ "/>
    <numFmt numFmtId="167" formatCode="#,##0.000000;[Red]\-#,##0.000000"/>
    <numFmt numFmtId="168" formatCode="#,##0.0;[Red]\-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" fontId="6" fillId="3" borderId="5" applyFont="0">
      <alignment horizontal="right" vertical="center"/>
      <protection locked="0"/>
    </xf>
    <xf numFmtId="3" fontId="6" fillId="2" borderId="4" applyFont="0">
      <alignment horizontal="right" vertical="center"/>
    </xf>
    <xf numFmtId="3" fontId="6" fillId="6" borderId="5" applyFont="0">
      <alignment horizontal="right" vertical="center"/>
      <protection locked="0"/>
    </xf>
    <xf numFmtId="0" fontId="6" fillId="7" borderId="4" applyNumberFormat="0" applyFont="0" applyBorder="0">
      <alignment horizontal="center" vertical="center"/>
    </xf>
  </cellStyleXfs>
  <cellXfs count="132">
    <xf numFmtId="0" fontId="0" fillId="0" borderId="0" xfId="0"/>
    <xf numFmtId="38" fontId="2" fillId="2" borderId="0" xfId="0" applyNumberFormat="1" applyFont="1" applyFill="1"/>
    <xf numFmtId="38" fontId="2" fillId="2" borderId="1" xfId="0" applyNumberFormat="1" applyFont="1" applyFill="1" applyBorder="1" applyAlignment="1">
      <alignment horizontal="centerContinuous"/>
    </xf>
    <xf numFmtId="38" fontId="2" fillId="2" borderId="2" xfId="0" applyNumberFormat="1" applyFont="1" applyFill="1" applyBorder="1" applyAlignment="1">
      <alignment horizontal="centerContinuous"/>
    </xf>
    <xf numFmtId="38" fontId="2" fillId="2" borderId="3" xfId="0" applyNumberFormat="1" applyFont="1" applyFill="1" applyBorder="1" applyAlignment="1">
      <alignment horizontal="centerContinuous"/>
    </xf>
    <xf numFmtId="38" fontId="3" fillId="2" borderId="0" xfId="0" applyNumberFormat="1" applyFont="1" applyFill="1" applyAlignment="1">
      <alignment vertical="center"/>
    </xf>
    <xf numFmtId="38" fontId="0" fillId="2" borderId="0" xfId="0" applyNumberFormat="1" applyFill="1"/>
    <xf numFmtId="38" fontId="5" fillId="2" borderId="1" xfId="0" applyNumberFormat="1" applyFont="1" applyFill="1" applyBorder="1" applyAlignment="1">
      <alignment horizontal="right"/>
    </xf>
    <xf numFmtId="38" fontId="5" fillId="2" borderId="3" xfId="0" applyNumberFormat="1" applyFont="1" applyFill="1" applyBorder="1" applyAlignment="1" applyProtection="1">
      <alignment horizontal="right"/>
      <protection locked="0"/>
    </xf>
    <xf numFmtId="164" fontId="5" fillId="2" borderId="1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38" fontId="3" fillId="2" borderId="1" xfId="1" applyNumberFormat="1" applyFont="1" applyFill="1" applyBorder="1" applyProtection="1">
      <alignment horizontal="right" vertical="center"/>
    </xf>
    <xf numFmtId="38" fontId="3" fillId="2" borderId="3" xfId="1" applyNumberFormat="1" applyFont="1" applyFill="1" applyBorder="1">
      <alignment horizontal="right" vertical="center"/>
      <protection locked="0"/>
    </xf>
    <xf numFmtId="165" fontId="3" fillId="2" borderId="1" xfId="1" applyNumberFormat="1" applyFont="1" applyFill="1" applyBorder="1" applyProtection="1">
      <alignment horizontal="right" vertical="center"/>
    </xf>
    <xf numFmtId="38" fontId="7" fillId="2" borderId="3" xfId="1" applyNumberFormat="1" applyFont="1" applyFill="1" applyBorder="1">
      <alignment horizontal="right" vertical="center"/>
      <protection locked="0"/>
    </xf>
    <xf numFmtId="38" fontId="8" fillId="2" borderId="0" xfId="0" applyNumberFormat="1" applyFont="1" applyFill="1" applyAlignment="1">
      <alignment horizontal="center" wrapText="1"/>
    </xf>
    <xf numFmtId="38" fontId="0" fillId="2" borderId="0" xfId="0" applyNumberFormat="1" applyFill="1" applyAlignment="1">
      <alignment horizontal="center"/>
    </xf>
    <xf numFmtId="38" fontId="8" fillId="4" borderId="4" xfId="1" applyNumberFormat="1" applyFont="1" applyFill="1" applyBorder="1" applyProtection="1">
      <alignment horizontal="right" vertical="center"/>
    </xf>
    <xf numFmtId="38" fontId="9" fillId="2" borderId="1" xfId="0" applyNumberFormat="1" applyFont="1" applyFill="1" applyBorder="1" applyAlignment="1">
      <alignment horizontal="left" vertical="center"/>
    </xf>
    <xf numFmtId="38" fontId="10" fillId="2" borderId="1" xfId="0" applyNumberFormat="1" applyFont="1" applyFill="1" applyBorder="1" applyAlignment="1">
      <alignment horizontal="left" vertical="center"/>
    </xf>
    <xf numFmtId="38" fontId="0" fillId="2" borderId="2" xfId="0" applyNumberFormat="1" applyFill="1" applyBorder="1"/>
    <xf numFmtId="38" fontId="5" fillId="2" borderId="2" xfId="0" applyNumberFormat="1" applyFont="1" applyFill="1" applyBorder="1"/>
    <xf numFmtId="38" fontId="5" fillId="2" borderId="3" xfId="0" applyNumberFormat="1" applyFont="1" applyFill="1" applyBorder="1"/>
    <xf numFmtId="38" fontId="3" fillId="2" borderId="1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horizontal="left" vertical="center"/>
    </xf>
    <xf numFmtId="38" fontId="4" fillId="2" borderId="4" xfId="0" applyNumberFormat="1" applyFont="1" applyFill="1" applyBorder="1" applyAlignment="1">
      <alignment horizontal="center"/>
    </xf>
    <xf numFmtId="38" fontId="0" fillId="2" borderId="6" xfId="0" applyNumberFormat="1" applyFill="1" applyBorder="1"/>
    <xf numFmtId="38" fontId="0" fillId="2" borderId="7" xfId="0" applyNumberFormat="1" applyFill="1" applyBorder="1"/>
    <xf numFmtId="38" fontId="0" fillId="2" borderId="8" xfId="0" applyNumberFormat="1" applyFill="1" applyBorder="1"/>
    <xf numFmtId="38" fontId="3" fillId="2" borderId="4" xfId="1" applyNumberFormat="1" applyFont="1" applyFill="1" applyBorder="1">
      <alignment horizontal="right" vertical="center"/>
      <protection locked="0"/>
    </xf>
    <xf numFmtId="38" fontId="5" fillId="2" borderId="3" xfId="0" applyNumberFormat="1" applyFont="1" applyFill="1" applyBorder="1" applyAlignment="1">
      <alignment horizontal="left" vertical="center" indent="1"/>
    </xf>
    <xf numFmtId="38" fontId="0" fillId="2" borderId="9" xfId="0" applyNumberFormat="1" applyFill="1" applyBorder="1"/>
    <xf numFmtId="38" fontId="0" fillId="2" borderId="10" xfId="0" applyNumberFormat="1" applyFill="1" applyBorder="1"/>
    <xf numFmtId="38" fontId="0" fillId="2" borderId="11" xfId="0" applyNumberFormat="1" applyFill="1" applyBorder="1"/>
    <xf numFmtId="38" fontId="3" fillId="2" borderId="12" xfId="0" applyNumberFormat="1" applyFont="1" applyFill="1" applyBorder="1" applyAlignment="1">
      <alignment vertical="center"/>
    </xf>
    <xf numFmtId="38" fontId="3" fillId="2" borderId="13" xfId="0" applyNumberFormat="1" applyFont="1" applyFill="1" applyBorder="1" applyAlignment="1">
      <alignment vertical="center"/>
    </xf>
    <xf numFmtId="38" fontId="9" fillId="2" borderId="12" xfId="0" applyNumberFormat="1" applyFont="1" applyFill="1" applyBorder="1" applyAlignment="1">
      <alignment horizontal="left" vertical="center"/>
    </xf>
    <xf numFmtId="38" fontId="3" fillId="2" borderId="0" xfId="0" applyNumberFormat="1" applyFont="1" applyFill="1" applyAlignment="1">
      <alignment horizontal="left" vertical="center"/>
    </xf>
    <xf numFmtId="38" fontId="7" fillId="2" borderId="1" xfId="0" applyNumberFormat="1" applyFont="1" applyFill="1" applyBorder="1" applyAlignment="1">
      <alignment vertical="center"/>
    </xf>
    <xf numFmtId="38" fontId="11" fillId="2" borderId="3" xfId="0" applyNumberFormat="1" applyFont="1" applyFill="1" applyBorder="1" applyAlignment="1">
      <alignment vertical="center"/>
    </xf>
    <xf numFmtId="38" fontId="3" fillId="5" borderId="4" xfId="2" applyNumberFormat="1" applyFont="1" applyFill="1" applyProtection="1">
      <alignment horizontal="right" vertical="center"/>
      <protection locked="0"/>
    </xf>
    <xf numFmtId="38" fontId="5" fillId="2" borderId="3" xfId="0" applyNumberFormat="1" applyFont="1" applyFill="1" applyBorder="1" applyAlignment="1">
      <alignment horizontal="left" vertical="center"/>
    </xf>
    <xf numFmtId="38" fontId="0" fillId="2" borderId="12" xfId="0" applyNumberFormat="1" applyFill="1" applyBorder="1"/>
    <xf numFmtId="38" fontId="0" fillId="2" borderId="13" xfId="0" applyNumberFormat="1" applyFill="1" applyBorder="1"/>
    <xf numFmtId="38" fontId="5" fillId="2" borderId="4" xfId="3" applyNumberFormat="1" applyFont="1" applyFill="1" applyBorder="1">
      <alignment horizontal="right" vertical="center"/>
      <protection locked="0"/>
    </xf>
    <xf numFmtId="38" fontId="3" fillId="5" borderId="4" xfId="2" applyNumberFormat="1" applyFont="1" applyFill="1">
      <alignment horizontal="right" vertical="center"/>
    </xf>
    <xf numFmtId="38" fontId="5" fillId="2" borderId="1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11" fillId="2" borderId="10" xfId="0" applyNumberFormat="1" applyFont="1" applyFill="1" applyBorder="1" applyAlignment="1">
      <alignment vertical="center" wrapText="1"/>
    </xf>
    <xf numFmtId="38" fontId="1" fillId="2" borderId="10" xfId="0" applyNumberFormat="1" applyFont="1" applyFill="1" applyBorder="1" applyAlignment="1">
      <alignment horizontal="center"/>
    </xf>
    <xf numFmtId="38" fontId="5" fillId="2" borderId="3" xfId="0" applyNumberFormat="1" applyFont="1" applyFill="1" applyBorder="1" applyAlignment="1">
      <alignment vertical="center" wrapText="1"/>
    </xf>
    <xf numFmtId="38" fontId="5" fillId="2" borderId="4" xfId="1" applyNumberFormat="1" applyFont="1" applyFill="1" applyBorder="1">
      <alignment horizontal="right" vertical="center"/>
      <protection locked="0"/>
    </xf>
    <xf numFmtId="38" fontId="5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38" fontId="5" fillId="2" borderId="6" xfId="0" applyNumberFormat="1" applyFont="1" applyFill="1" applyBorder="1" applyAlignment="1" applyProtection="1">
      <alignment horizontal="center"/>
      <protection locked="0"/>
    </xf>
    <xf numFmtId="38" fontId="5" fillId="2" borderId="7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38" fontId="5" fillId="2" borderId="12" xfId="0" applyNumberFormat="1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38" fontId="5" fillId="2" borderId="9" xfId="0" applyNumberFormat="1" applyFont="1" applyFill="1" applyBorder="1" applyAlignment="1" applyProtection="1">
      <alignment horizontal="center"/>
      <protection locked="0"/>
    </xf>
    <xf numFmtId="38" fontId="5" fillId="2" borderId="10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38" fontId="9" fillId="2" borderId="9" xfId="0" applyNumberFormat="1" applyFont="1" applyFill="1" applyBorder="1" applyAlignment="1">
      <alignment horizontal="left" vertical="center"/>
    </xf>
    <xf numFmtId="38" fontId="3" fillId="2" borderId="10" xfId="0" applyNumberFormat="1" applyFont="1" applyFill="1" applyBorder="1" applyAlignment="1">
      <alignment horizontal="left" vertical="center"/>
    </xf>
    <xf numFmtId="38" fontId="0" fillId="2" borderId="10" xfId="0" applyNumberFormat="1" applyFill="1" applyBorder="1" applyAlignment="1">
      <alignment horizontal="center"/>
    </xf>
    <xf numFmtId="38" fontId="3" fillId="2" borderId="10" xfId="0" applyNumberFormat="1" applyFont="1" applyFill="1" applyBorder="1" applyAlignment="1">
      <alignment vertical="center"/>
    </xf>
    <xf numFmtId="38" fontId="3" fillId="2" borderId="10" xfId="0" quotePrefix="1" applyNumberFormat="1" applyFont="1" applyFill="1" applyBorder="1" applyAlignment="1">
      <alignment vertical="center"/>
    </xf>
    <xf numFmtId="38" fontId="3" fillId="2" borderId="11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vertical="center"/>
    </xf>
    <xf numFmtId="38" fontId="3" fillId="2" borderId="6" xfId="2" applyNumberFormat="1" applyFont="1" applyBorder="1" applyAlignment="1">
      <alignment vertical="center"/>
    </xf>
    <xf numFmtId="38" fontId="3" fillId="2" borderId="7" xfId="2" applyNumberFormat="1" applyFont="1" applyBorder="1" applyAlignment="1">
      <alignment vertical="center"/>
    </xf>
    <xf numFmtId="38" fontId="3" fillId="2" borderId="8" xfId="2" applyNumberFormat="1" applyFont="1" applyBorder="1" applyAlignment="1">
      <alignment vertical="center"/>
    </xf>
    <xf numFmtId="38" fontId="3" fillId="2" borderId="12" xfId="3" applyNumberFormat="1" applyFont="1" applyFill="1" applyBorder="1" applyAlignment="1" applyProtection="1">
      <alignment vertical="center"/>
    </xf>
    <xf numFmtId="38" fontId="3" fillId="2" borderId="0" xfId="3" applyNumberFormat="1" applyFont="1" applyFill="1" applyBorder="1" applyAlignment="1" applyProtection="1">
      <alignment vertical="center"/>
    </xf>
    <xf numFmtId="38" fontId="3" fillId="2" borderId="13" xfId="2" applyNumberFormat="1" applyFont="1" applyBorder="1" applyAlignment="1">
      <alignment vertical="center"/>
    </xf>
    <xf numFmtId="166" fontId="3" fillId="2" borderId="12" xfId="3" applyNumberFormat="1" applyFont="1" applyFill="1" applyBorder="1" applyAlignment="1" applyProtection="1">
      <alignment vertical="center"/>
    </xf>
    <xf numFmtId="166" fontId="3" fillId="2" borderId="0" xfId="3" applyNumberFormat="1" applyFont="1" applyFill="1" applyBorder="1" applyAlignment="1" applyProtection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3" fillId="2" borderId="13" xfId="3" applyNumberFormat="1" applyFont="1" applyFill="1" applyBorder="1" applyAlignment="1" applyProtection="1">
      <alignment vertical="center"/>
    </xf>
    <xf numFmtId="38" fontId="3" fillId="2" borderId="12" xfId="2" applyNumberFormat="1" applyFont="1" applyBorder="1" applyAlignment="1">
      <alignment vertical="center"/>
    </xf>
    <xf numFmtId="38" fontId="3" fillId="2" borderId="0" xfId="2" applyNumberFormat="1" applyFont="1" applyBorder="1" applyAlignment="1">
      <alignment vertical="center"/>
    </xf>
    <xf numFmtId="38" fontId="3" fillId="2" borderId="12" xfId="4" applyNumberFormat="1" applyFont="1" applyFill="1" applyBorder="1" applyAlignment="1">
      <alignment vertical="center"/>
    </xf>
    <xf numFmtId="38" fontId="3" fillId="2" borderId="0" xfId="4" applyNumberFormat="1" applyFont="1" applyFill="1" applyBorder="1" applyAlignment="1">
      <alignment vertical="center"/>
    </xf>
    <xf numFmtId="38" fontId="3" fillId="2" borderId="13" xfId="4" applyNumberFormat="1" applyFont="1" applyFill="1" applyBorder="1" applyAlignment="1">
      <alignment vertical="center"/>
    </xf>
    <xf numFmtId="38" fontId="3" fillId="2" borderId="9" xfId="4" applyNumberFormat="1" applyFont="1" applyFill="1" applyBorder="1" applyAlignment="1">
      <alignment vertical="center"/>
    </xf>
    <xf numFmtId="38" fontId="3" fillId="2" borderId="10" xfId="4" applyNumberFormat="1" applyFont="1" applyFill="1" applyBorder="1" applyAlignment="1">
      <alignment vertical="center"/>
    </xf>
    <xf numFmtId="38" fontId="3" fillId="2" borderId="11" xfId="4" applyNumberFormat="1" applyFont="1" applyFill="1" applyBorder="1" applyAlignment="1">
      <alignment vertical="center"/>
    </xf>
    <xf numFmtId="167" fontId="8" fillId="5" borderId="3" xfId="1" applyNumberFormat="1" applyFont="1" applyFill="1" applyBorder="1" applyProtection="1">
      <alignment horizontal="right" vertical="center"/>
    </xf>
    <xf numFmtId="38" fontId="3" fillId="2" borderId="6" xfId="4" applyNumberFormat="1" applyFont="1" applyFill="1" applyBorder="1" applyAlignment="1">
      <alignment vertical="center"/>
    </xf>
    <xf numFmtId="38" fontId="3" fillId="2" borderId="7" xfId="4" applyNumberFormat="1" applyFont="1" applyFill="1" applyBorder="1" applyAlignment="1">
      <alignment vertical="center"/>
    </xf>
    <xf numFmtId="38" fontId="3" fillId="2" borderId="8" xfId="4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horizontal="left" vertical="center" indent="1"/>
    </xf>
    <xf numFmtId="38" fontId="3" fillId="2" borderId="9" xfId="2" applyNumberFormat="1" applyFont="1" applyBorder="1" applyAlignment="1">
      <alignment vertical="center"/>
    </xf>
    <xf numFmtId="38" fontId="3" fillId="2" borderId="10" xfId="2" applyNumberFormat="1" applyFont="1" applyBorder="1" applyAlignment="1">
      <alignment vertical="center"/>
    </xf>
    <xf numFmtId="38" fontId="3" fillId="2" borderId="11" xfId="2" applyNumberFormat="1" applyFont="1" applyBorder="1" applyAlignment="1">
      <alignment vertical="center"/>
    </xf>
    <xf numFmtId="38" fontId="4" fillId="8" borderId="4" xfId="0" applyNumberFormat="1" applyFont="1" applyFill="1" applyBorder="1"/>
    <xf numFmtId="38" fontId="4" fillId="8" borderId="4" xfId="0" applyNumberFormat="1" applyFont="1" applyFill="1" applyBorder="1" applyAlignment="1">
      <alignment wrapText="1"/>
    </xf>
    <xf numFmtId="38" fontId="8" fillId="2" borderId="14" xfId="0" applyNumberFormat="1" applyFont="1" applyFill="1" applyBorder="1" applyAlignment="1">
      <alignment vertical="center"/>
    </xf>
    <xf numFmtId="38" fontId="3" fillId="5" borderId="4" xfId="1" applyNumberFormat="1" applyFont="1" applyFill="1" applyBorder="1">
      <alignment horizontal="right" vertical="center"/>
      <protection locked="0"/>
    </xf>
    <xf numFmtId="38" fontId="2" fillId="2" borderId="0" xfId="0" applyNumberFormat="1" applyFont="1" applyFill="1" applyBorder="1" applyAlignment="1">
      <alignment horizontal="centerContinuous"/>
    </xf>
    <xf numFmtId="38" fontId="9" fillId="2" borderId="4" xfId="0" applyNumberFormat="1" applyFont="1" applyFill="1" applyBorder="1" applyAlignment="1">
      <alignment horizontal="left" vertical="center"/>
    </xf>
    <xf numFmtId="38" fontId="4" fillId="2" borderId="15" xfId="0" applyNumberFormat="1" applyFont="1" applyFill="1" applyBorder="1" applyAlignment="1">
      <alignment horizontal="center"/>
    </xf>
    <xf numFmtId="168" fontId="3" fillId="2" borderId="3" xfId="1" applyNumberFormat="1" applyFont="1" applyFill="1" applyBorder="1">
      <alignment horizontal="right" vertical="center"/>
      <protection locked="0"/>
    </xf>
    <xf numFmtId="38" fontId="3" fillId="9" borderId="0" xfId="0" applyNumberFormat="1" applyFont="1" applyFill="1" applyAlignment="1">
      <alignment vertical="center"/>
    </xf>
    <xf numFmtId="38" fontId="4" fillId="2" borderId="0" xfId="0" applyNumberFormat="1" applyFont="1" applyFill="1" applyBorder="1" applyAlignment="1">
      <alignment horizontal="center"/>
    </xf>
    <xf numFmtId="38" fontId="0" fillId="2" borderId="0" xfId="0" applyNumberFormat="1" applyFill="1" applyBorder="1"/>
    <xf numFmtId="38" fontId="12" fillId="2" borderId="0" xfId="0" applyNumberFormat="1" applyFont="1" applyFill="1" applyBorder="1" applyAlignment="1">
      <alignment horizontal="left" vertical="center" indent="1"/>
    </xf>
    <xf numFmtId="38" fontId="4" fillId="2" borderId="1" xfId="0" applyNumberFormat="1" applyFont="1" applyFill="1" applyBorder="1" applyAlignment="1">
      <alignment horizontal="center"/>
    </xf>
    <xf numFmtId="38" fontId="5" fillId="2" borderId="3" xfId="0" applyNumberFormat="1" applyFont="1" applyFill="1" applyBorder="1" applyAlignment="1">
      <alignment horizontal="left" vertical="center" wrapText="1"/>
    </xf>
    <xf numFmtId="38" fontId="5" fillId="2" borderId="0" xfId="0" applyNumberFormat="1" applyFont="1" applyFill="1" applyBorder="1" applyAlignment="1" applyProtection="1">
      <alignment horizontal="center"/>
      <protection locked="0"/>
    </xf>
    <xf numFmtId="38" fontId="5" fillId="2" borderId="13" xfId="0" applyNumberFormat="1" applyFont="1" applyFill="1" applyBorder="1" applyAlignment="1" applyProtection="1">
      <alignment horizontal="center"/>
      <protection locked="0"/>
    </xf>
    <xf numFmtId="38" fontId="3" fillId="2" borderId="13" xfId="2" applyNumberFormat="1" applyFont="1" applyFill="1" applyBorder="1" applyAlignment="1">
      <alignment vertical="center"/>
    </xf>
    <xf numFmtId="38" fontId="3" fillId="2" borderId="12" xfId="2" applyNumberFormat="1" applyFont="1" applyFill="1" applyBorder="1" applyAlignment="1">
      <alignment vertical="center"/>
    </xf>
    <xf numFmtId="38" fontId="3" fillId="2" borderId="0" xfId="2" applyNumberFormat="1" applyFont="1" applyFill="1" applyBorder="1" applyAlignment="1">
      <alignment vertical="center"/>
    </xf>
    <xf numFmtId="38" fontId="12" fillId="2" borderId="2" xfId="0" applyNumberFormat="1" applyFont="1" applyFill="1" applyBorder="1" applyAlignment="1">
      <alignment horizontal="left" vertical="center" indent="1"/>
    </xf>
    <xf numFmtId="38" fontId="3" fillId="2" borderId="9" xfId="0" applyNumberFormat="1" applyFont="1" applyFill="1" applyBorder="1" applyAlignment="1">
      <alignment vertical="center"/>
    </xf>
    <xf numFmtId="38" fontId="12" fillId="2" borderId="3" xfId="0" applyNumberFormat="1" applyFont="1" applyFill="1" applyBorder="1" applyAlignment="1">
      <alignment horizontal="left" vertical="center" indent="1"/>
    </xf>
    <xf numFmtId="38" fontId="3" fillId="2" borderId="4" xfId="1" applyNumberFormat="1" applyFont="1" applyFill="1" applyBorder="1" applyProtection="1">
      <alignment horizontal="right" vertical="center"/>
    </xf>
    <xf numFmtId="0" fontId="13" fillId="0" borderId="4" xfId="0" applyFont="1" applyBorder="1" applyAlignment="1">
      <alignment vertical="center"/>
    </xf>
    <xf numFmtId="38" fontId="4" fillId="2" borderId="1" xfId="0" applyNumberFormat="1" applyFont="1" applyFill="1" applyBorder="1" applyAlignment="1" applyProtection="1">
      <alignment horizontal="center"/>
      <protection locked="0"/>
    </xf>
    <xf numFmtId="38" fontId="4" fillId="2" borderId="2" xfId="0" applyNumberFormat="1" applyFont="1" applyFill="1" applyBorder="1" applyAlignment="1" applyProtection="1">
      <alignment horizontal="center"/>
      <protection locked="0"/>
    </xf>
    <xf numFmtId="38" fontId="4" fillId="2" borderId="3" xfId="0" applyNumberFormat="1" applyFont="1" applyFill="1" applyBorder="1" applyAlignment="1" applyProtection="1">
      <alignment horizontal="center"/>
      <protection locked="0"/>
    </xf>
    <xf numFmtId="38" fontId="5" fillId="2" borderId="1" xfId="0" applyNumberFormat="1" applyFont="1" applyFill="1" applyBorder="1" applyAlignment="1" applyProtection="1">
      <alignment horizontal="center"/>
      <protection locked="0"/>
    </xf>
    <xf numFmtId="38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8" fontId="8" fillId="10" borderId="1" xfId="0" applyNumberFormat="1" applyFont="1" applyFill="1" applyBorder="1" applyAlignment="1" applyProtection="1">
      <alignment horizontal="center"/>
      <protection locked="0"/>
    </xf>
    <xf numFmtId="38" fontId="8" fillId="10" borderId="2" xfId="0" applyNumberFormat="1" applyFont="1" applyFill="1" applyBorder="1" applyAlignment="1" applyProtection="1">
      <alignment horizontal="center"/>
      <protection locked="0"/>
    </xf>
    <xf numFmtId="38" fontId="8" fillId="10" borderId="3" xfId="0" applyNumberFormat="1" applyFont="1" applyFill="1" applyBorder="1" applyAlignment="1" applyProtection="1">
      <alignment horizontal="center"/>
      <protection locked="0"/>
    </xf>
  </cellXfs>
  <cellStyles count="5">
    <cellStyle name="greyed" xfId="4" xr:uid="{BA0EAE62-9A26-4F92-9D13-EEC371D92EED}"/>
    <cellStyle name="inputExposure" xfId="1" xr:uid="{DD27D8B9-7EAA-4A69-B5EE-5179B11CD7CC}"/>
    <cellStyle name="Normal" xfId="0" builtinId="0"/>
    <cellStyle name="optionalExposure" xfId="3" xr:uid="{BA83409A-5984-4003-ABE9-1D6497FA5AB1}"/>
    <cellStyle name="showExposure" xfId="2" xr:uid="{40C6DF49-41F9-41A8-B43D-031C38E34562}"/>
  </cellStyles>
  <dxfs count="172"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</dxfs>
  <tableStyles count="1" defaultTableStyle="TableStyleMedium2" defaultPivotStyle="PivotStyleLight16">
    <tableStyle name="Invisible" pivot="0" table="0" count="0" xr9:uid="{E4A237B4-0FDA-4B01-9E98-762DC5EBFF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EC8-2D19-4EEB-B621-2ED7424AF24C}">
  <sheetPr>
    <tabColor rgb="FF00B050"/>
    <pageSetUpPr fitToPage="1"/>
  </sheetPr>
  <dimension ref="A2:CN80"/>
  <sheetViews>
    <sheetView showGridLines="0" tabSelected="1" zoomScale="80" zoomScaleNormal="80" workbookViewId="0"/>
  </sheetViews>
  <sheetFormatPr defaultColWidth="8.81640625" defaultRowHeight="14.5" x14ac:dyDescent="0.35"/>
  <cols>
    <col min="1" max="1" width="1.81640625" style="5" customWidth="1"/>
    <col min="2" max="2" width="87.1796875" style="5" bestFit="1" customWidth="1"/>
    <col min="3" max="3" width="8.81640625" style="16"/>
    <col min="4" max="10" width="12.6328125" style="5" customWidth="1"/>
    <col min="11" max="11" width="13.36328125" style="5" bestFit="1" customWidth="1"/>
    <col min="12" max="13" width="12.6328125" style="5" customWidth="1"/>
    <col min="14" max="14" width="1.81640625" style="5" customWidth="1"/>
    <col min="15" max="15" width="10.08984375" style="6" bestFit="1" customWidth="1"/>
    <col min="16" max="16384" width="8.81640625" style="6"/>
  </cols>
  <sheetData>
    <row r="2" spans="1:14" ht="26" x14ac:dyDescent="0.6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4" ht="26" x14ac:dyDescent="0.6">
      <c r="A3" s="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4" ht="15.5" x14ac:dyDescent="0.35">
      <c r="A4" s="6"/>
      <c r="B4" s="102" t="s">
        <v>65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35">
      <c r="A5" s="6"/>
      <c r="B5" s="97" t="s">
        <v>1</v>
      </c>
      <c r="C5" s="7"/>
      <c r="D5" s="8" t="s">
        <v>2</v>
      </c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35">
      <c r="A6" s="6"/>
      <c r="B6" s="97" t="s">
        <v>3</v>
      </c>
      <c r="C6" s="7"/>
      <c r="D6" s="8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6"/>
      <c r="B7" s="97" t="s">
        <v>5</v>
      </c>
      <c r="C7" s="9"/>
      <c r="D7" s="10">
        <v>44377</v>
      </c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35">
      <c r="A8" s="6"/>
      <c r="B8" s="98" t="s">
        <v>6</v>
      </c>
      <c r="C8" s="11"/>
      <c r="D8" s="12" t="s">
        <v>7</v>
      </c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35">
      <c r="A9" s="6"/>
      <c r="B9" s="98" t="s">
        <v>8</v>
      </c>
      <c r="C9" s="11"/>
      <c r="D9" s="12" t="s">
        <v>9</v>
      </c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35">
      <c r="A10" s="6"/>
      <c r="B10" s="97" t="s">
        <v>68</v>
      </c>
      <c r="C10" s="11"/>
      <c r="D10" s="12">
        <v>350000</v>
      </c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35">
      <c r="A11" s="6"/>
      <c r="B11" s="97" t="s">
        <v>10</v>
      </c>
      <c r="C11" s="13"/>
      <c r="D11" s="104">
        <f>350/20</f>
        <v>17.5</v>
      </c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35">
      <c r="A12" s="6"/>
      <c r="B12" s="97" t="s">
        <v>11</v>
      </c>
      <c r="C12" s="11"/>
      <c r="D12" s="14">
        <v>1000</v>
      </c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35">
      <c r="B14" s="15"/>
      <c r="D14" s="6"/>
      <c r="E14" s="6"/>
      <c r="F14" s="6"/>
      <c r="G14" s="6"/>
      <c r="H14" s="6"/>
      <c r="I14" s="6"/>
      <c r="J14" s="6"/>
      <c r="K14" s="17" t="s">
        <v>12</v>
      </c>
      <c r="L14" s="17" t="s">
        <v>13</v>
      </c>
      <c r="M14" s="17" t="s">
        <v>14</v>
      </c>
    </row>
    <row r="15" spans="1:14" x14ac:dyDescent="0.35">
      <c r="D15" s="99">
        <v>1</v>
      </c>
      <c r="E15" s="99">
        <f>D15+1</f>
        <v>2</v>
      </c>
      <c r="F15" s="99">
        <f t="shared" ref="F15:M15" si="0">E15+1</f>
        <v>3</v>
      </c>
      <c r="G15" s="99">
        <f t="shared" si="0"/>
        <v>4</v>
      </c>
      <c r="H15" s="99">
        <f t="shared" si="0"/>
        <v>5</v>
      </c>
      <c r="I15" s="99">
        <f t="shared" si="0"/>
        <v>6</v>
      </c>
      <c r="J15" s="99">
        <f t="shared" si="0"/>
        <v>7</v>
      </c>
      <c r="K15" s="99">
        <f t="shared" si="0"/>
        <v>8</v>
      </c>
      <c r="L15" s="99">
        <f t="shared" si="0"/>
        <v>9</v>
      </c>
      <c r="M15" s="99">
        <f t="shared" si="0"/>
        <v>10</v>
      </c>
    </row>
    <row r="16" spans="1:14" ht="15.5" x14ac:dyDescent="0.35">
      <c r="A16" s="18" t="s">
        <v>15</v>
      </c>
      <c r="B16" s="19"/>
      <c r="C16" s="102" t="s">
        <v>66</v>
      </c>
      <c r="D16" s="20"/>
      <c r="E16" s="20"/>
      <c r="F16" s="20"/>
      <c r="G16" s="20"/>
      <c r="H16" s="20"/>
      <c r="I16" s="20"/>
      <c r="J16" s="20"/>
      <c r="K16" s="21"/>
      <c r="L16" s="21"/>
      <c r="M16" s="22"/>
    </row>
    <row r="17" spans="1:13" x14ac:dyDescent="0.35">
      <c r="A17" s="23"/>
      <c r="B17" s="24" t="s">
        <v>16</v>
      </c>
      <c r="C17" s="103">
        <v>1</v>
      </c>
      <c r="D17" s="26"/>
      <c r="E17" s="27"/>
      <c r="F17" s="27"/>
      <c r="G17" s="27"/>
      <c r="H17" s="27"/>
      <c r="I17" s="27"/>
      <c r="J17" s="28"/>
      <c r="K17" s="29"/>
      <c r="L17" s="29"/>
      <c r="M17" s="29"/>
    </row>
    <row r="18" spans="1:13" x14ac:dyDescent="0.35">
      <c r="A18" s="23"/>
      <c r="B18" s="30" t="s">
        <v>17</v>
      </c>
      <c r="C18" s="109">
        <f>C17+1</f>
        <v>2</v>
      </c>
      <c r="D18" s="42"/>
      <c r="E18" s="107"/>
      <c r="F18" s="107"/>
      <c r="G18" s="107"/>
      <c r="H18" s="107"/>
      <c r="I18" s="107"/>
      <c r="J18" s="43"/>
      <c r="K18" s="12"/>
      <c r="L18" s="29"/>
      <c r="M18" s="29"/>
    </row>
    <row r="19" spans="1:13" x14ac:dyDescent="0.35">
      <c r="A19" s="23"/>
      <c r="B19" s="116" t="str">
        <f>CONCATENATE("Check: row ",ROW(B18)," ≤ row ",ROW(B17))</f>
        <v>Check: row 18 ≤ row 17</v>
      </c>
      <c r="C19" s="25">
        <f>C18+1</f>
        <v>3</v>
      </c>
      <c r="D19" s="32"/>
      <c r="E19" s="32"/>
      <c r="F19" s="32"/>
      <c r="G19" s="32"/>
      <c r="H19" s="32"/>
      <c r="I19" s="32"/>
      <c r="J19" s="32"/>
      <c r="K19" s="120" t="str">
        <f t="shared" ref="K19:L19" si="1">IF(AND(ISNUMBER(K17), ISNUMBER(K18)),IF(AND(K18 &lt;= K17), "Pass","Fail"),"")</f>
        <v/>
      </c>
      <c r="L19" s="120" t="str">
        <f t="shared" si="1"/>
        <v/>
      </c>
      <c r="M19" s="120" t="str">
        <f>IF(AND(ISNUMBER(M17), ISNUMBER(M18)),IF(AND(M18 &lt;= M17), "Pass","Fail"),"")</f>
        <v/>
      </c>
    </row>
    <row r="20" spans="1:13" x14ac:dyDescent="0.35">
      <c r="A20" s="34"/>
      <c r="D20" s="6"/>
      <c r="E20" s="6"/>
      <c r="F20" s="6"/>
      <c r="G20" s="6"/>
      <c r="H20" s="6"/>
      <c r="I20" s="6"/>
      <c r="J20" s="6"/>
      <c r="M20" s="35"/>
    </row>
    <row r="21" spans="1:13" s="5" customFormat="1" ht="15.5" x14ac:dyDescent="0.35">
      <c r="A21" s="36" t="s">
        <v>18</v>
      </c>
      <c r="B21" s="37"/>
      <c r="C21" s="16"/>
      <c r="D21" s="6"/>
      <c r="E21" s="6"/>
      <c r="F21" s="6"/>
      <c r="G21" s="6"/>
      <c r="H21" s="6"/>
      <c r="I21" s="6"/>
      <c r="J21" s="6"/>
      <c r="M21" s="35"/>
    </row>
    <row r="22" spans="1:13" s="5" customFormat="1" x14ac:dyDescent="0.35">
      <c r="A22" s="38"/>
      <c r="B22" s="39" t="s">
        <v>19</v>
      </c>
      <c r="C22" s="25">
        <f>C19+1</f>
        <v>4</v>
      </c>
      <c r="D22" s="26"/>
      <c r="E22" s="27"/>
      <c r="F22" s="27"/>
      <c r="G22" s="27"/>
      <c r="H22" s="27"/>
      <c r="I22" s="27"/>
      <c r="J22" s="28"/>
      <c r="K22" s="40" t="str">
        <f>IF(AND(ISNUMBER(K23), ISNUMBER(K25), ISNUMBER(K28), ISNUMBER(K29), ISNUMBER(K30), ISNUMBER(K31), ISNUMBER(K33)), K23-K25+K28+K29-K30+K31+K33+K34, "")</f>
        <v/>
      </c>
      <c r="L22" s="40" t="str">
        <f t="shared" ref="L22" si="2">IF(AND(ISNUMBER(L23), ISNUMBER(L25), ISNUMBER(L28), ISNUMBER(L29), ISNUMBER(L30), ISNUMBER(L31), ISNUMBER(L33)), L23-L25+L28+L29-L30+L31+L33+L34, "")</f>
        <v/>
      </c>
      <c r="M22" s="40" t="str">
        <f>IF(AND(ISNUMBER(M23), ISNUMBER(M25), ISNUMBER(M28), ISNUMBER(M29), ISNUMBER(M30), ISNUMBER(M31), ISNUMBER(M33)), M23-M25+M28+M29-M30+M31+M33+M34, "")</f>
        <v/>
      </c>
    </row>
    <row r="23" spans="1:13" s="5" customFormat="1" x14ac:dyDescent="0.35">
      <c r="A23" s="23"/>
      <c r="B23" s="41" t="s">
        <v>20</v>
      </c>
      <c r="C23" s="25">
        <f t="shared" ref="C23:C54" si="3">C22+1</f>
        <v>5</v>
      </c>
      <c r="D23" s="42"/>
      <c r="E23" s="6"/>
      <c r="F23" s="6"/>
      <c r="G23" s="6"/>
      <c r="H23" s="6"/>
      <c r="I23" s="6"/>
      <c r="J23" s="43"/>
      <c r="K23" s="29"/>
      <c r="L23" s="29"/>
      <c r="M23" s="29"/>
    </row>
    <row r="24" spans="1:13" s="5" customFormat="1" x14ac:dyDescent="0.35">
      <c r="A24" s="23"/>
      <c r="B24" s="30" t="s">
        <v>21</v>
      </c>
      <c r="C24" s="25">
        <f t="shared" si="3"/>
        <v>6</v>
      </c>
      <c r="D24" s="42"/>
      <c r="E24" s="6"/>
      <c r="F24" s="6"/>
      <c r="G24" s="6"/>
      <c r="H24" s="6"/>
      <c r="I24" s="6"/>
      <c r="J24" s="43"/>
      <c r="K24" s="44"/>
      <c r="L24" s="44"/>
      <c r="M24" s="44"/>
    </row>
    <row r="25" spans="1:13" s="5" customFormat="1" x14ac:dyDescent="0.35">
      <c r="A25" s="23"/>
      <c r="B25" s="41" t="s">
        <v>22</v>
      </c>
      <c r="C25" s="25">
        <f t="shared" si="3"/>
        <v>7</v>
      </c>
      <c r="D25" s="42"/>
      <c r="E25" s="6"/>
      <c r="F25" s="6"/>
      <c r="G25" s="6"/>
      <c r="H25" s="6"/>
      <c r="I25" s="6"/>
      <c r="J25" s="43"/>
      <c r="K25" s="29"/>
      <c r="L25" s="29"/>
      <c r="M25" s="29"/>
    </row>
    <row r="26" spans="1:13" s="5" customFormat="1" x14ac:dyDescent="0.35">
      <c r="A26" s="23"/>
      <c r="B26" s="30" t="s">
        <v>23</v>
      </c>
      <c r="C26" s="25">
        <f t="shared" si="3"/>
        <v>8</v>
      </c>
      <c r="D26" s="42"/>
      <c r="E26" s="6"/>
      <c r="F26" s="6"/>
      <c r="G26" s="6"/>
      <c r="H26" s="6"/>
      <c r="I26" s="6"/>
      <c r="J26" s="43"/>
      <c r="K26" s="44"/>
      <c r="L26" s="44"/>
      <c r="M26" s="44"/>
    </row>
    <row r="27" spans="1:13" s="5" customFormat="1" x14ac:dyDescent="0.35">
      <c r="A27" s="23"/>
      <c r="B27" s="41" t="s">
        <v>24</v>
      </c>
      <c r="C27" s="25">
        <f t="shared" si="3"/>
        <v>9</v>
      </c>
      <c r="D27" s="42"/>
      <c r="E27" s="6"/>
      <c r="F27" s="6"/>
      <c r="G27" s="6"/>
      <c r="H27" s="6"/>
      <c r="I27" s="6"/>
      <c r="J27" s="43"/>
      <c r="K27" s="45" t="str">
        <f>IF(AND(ISNUMBER(K$23),ISNUMBER(K$25)),ABS(K$23-K$25),"")</f>
        <v/>
      </c>
      <c r="L27" s="45" t="str">
        <f t="shared" ref="L27" si="4">IF(AND(ISNUMBER(L$23),ISNUMBER(L$25)),ABS(L$23-L$25),"")</f>
        <v/>
      </c>
      <c r="M27" s="45" t="str">
        <f>IF(AND(ISNUMBER(M$23),ISNUMBER(M$25)),ABS(M$23-M$25),"")</f>
        <v/>
      </c>
    </row>
    <row r="28" spans="1:13" s="5" customFormat="1" x14ac:dyDescent="0.35">
      <c r="A28" s="23"/>
      <c r="B28" s="41" t="s">
        <v>25</v>
      </c>
      <c r="C28" s="25">
        <f t="shared" si="3"/>
        <v>10</v>
      </c>
      <c r="D28" s="42"/>
      <c r="E28" s="6"/>
      <c r="F28" s="6"/>
      <c r="G28" s="6"/>
      <c r="H28" s="6"/>
      <c r="I28" s="6"/>
      <c r="J28" s="43"/>
      <c r="K28" s="29"/>
      <c r="L28" s="29"/>
      <c r="M28" s="29"/>
    </row>
    <row r="29" spans="1:13" s="5" customFormat="1" x14ac:dyDescent="0.35">
      <c r="A29" s="23"/>
      <c r="B29" s="41" t="s">
        <v>26</v>
      </c>
      <c r="C29" s="25">
        <f t="shared" si="3"/>
        <v>11</v>
      </c>
      <c r="D29" s="42"/>
      <c r="E29" s="6"/>
      <c r="F29" s="6"/>
      <c r="G29" s="6"/>
      <c r="H29" s="6"/>
      <c r="I29" s="6"/>
      <c r="J29" s="43"/>
      <c r="K29" s="29"/>
      <c r="L29" s="29"/>
      <c r="M29" s="29"/>
    </row>
    <row r="30" spans="1:13" s="5" customFormat="1" x14ac:dyDescent="0.35">
      <c r="A30" s="23"/>
      <c r="B30" s="41" t="s">
        <v>27</v>
      </c>
      <c r="C30" s="25">
        <f t="shared" si="3"/>
        <v>12</v>
      </c>
      <c r="D30" s="42"/>
      <c r="E30" s="6"/>
      <c r="F30" s="6"/>
      <c r="G30" s="6"/>
      <c r="H30" s="6"/>
      <c r="I30" s="6"/>
      <c r="J30" s="43"/>
      <c r="K30" s="29"/>
      <c r="L30" s="29"/>
      <c r="M30" s="29"/>
    </row>
    <row r="31" spans="1:13" s="5" customFormat="1" x14ac:dyDescent="0.35">
      <c r="A31" s="23"/>
      <c r="B31" s="24" t="s">
        <v>28</v>
      </c>
      <c r="C31" s="25">
        <f t="shared" si="3"/>
        <v>13</v>
      </c>
      <c r="D31" s="42"/>
      <c r="E31" s="6"/>
      <c r="F31" s="6"/>
      <c r="G31" s="6"/>
      <c r="H31" s="6"/>
      <c r="I31" s="6"/>
      <c r="J31" s="43"/>
      <c r="K31" s="29"/>
      <c r="L31" s="29"/>
      <c r="M31" s="29"/>
    </row>
    <row r="32" spans="1:13" s="5" customFormat="1" x14ac:dyDescent="0.35">
      <c r="A32" s="23"/>
      <c r="B32" s="24" t="s">
        <v>29</v>
      </c>
      <c r="C32" s="25">
        <f t="shared" si="3"/>
        <v>14</v>
      </c>
      <c r="D32" s="42"/>
      <c r="E32" s="6"/>
      <c r="F32" s="6"/>
      <c r="G32" s="6"/>
      <c r="H32" s="6"/>
      <c r="I32" s="6"/>
      <c r="J32" s="43"/>
      <c r="K32" s="29"/>
      <c r="L32" s="29"/>
      <c r="M32" s="29"/>
    </row>
    <row r="33" spans="1:13" s="5" customFormat="1" x14ac:dyDescent="0.35">
      <c r="A33" s="23"/>
      <c r="B33" s="41" t="s">
        <v>30</v>
      </c>
      <c r="C33" s="25">
        <f t="shared" si="3"/>
        <v>15</v>
      </c>
      <c r="D33" s="42"/>
      <c r="E33" s="6"/>
      <c r="F33" s="6"/>
      <c r="G33" s="6"/>
      <c r="H33" s="6"/>
      <c r="I33" s="6"/>
      <c r="J33" s="43"/>
      <c r="K33" s="29"/>
      <c r="L33" s="29"/>
      <c r="M33" s="29"/>
    </row>
    <row r="34" spans="1:13" s="5" customFormat="1" x14ac:dyDescent="0.35">
      <c r="A34" s="46"/>
      <c r="B34" s="41" t="s">
        <v>31</v>
      </c>
      <c r="C34" s="25">
        <f t="shared" si="3"/>
        <v>16</v>
      </c>
      <c r="D34" s="42"/>
      <c r="E34" s="6"/>
      <c r="F34" s="6"/>
      <c r="G34" s="6"/>
      <c r="H34" s="6"/>
      <c r="I34" s="6"/>
      <c r="J34" s="43"/>
      <c r="K34" s="44"/>
      <c r="L34" s="44"/>
      <c r="M34" s="44"/>
    </row>
    <row r="35" spans="1:13" s="5" customFormat="1" x14ac:dyDescent="0.35">
      <c r="A35" s="23"/>
      <c r="B35" s="41" t="s">
        <v>32</v>
      </c>
      <c r="C35" s="25">
        <f t="shared" si="3"/>
        <v>17</v>
      </c>
      <c r="D35" s="31"/>
      <c r="E35" s="32"/>
      <c r="F35" s="32"/>
      <c r="G35" s="32"/>
      <c r="H35" s="32"/>
      <c r="I35" s="32"/>
      <c r="J35" s="33"/>
      <c r="K35" s="29"/>
      <c r="L35" s="29"/>
      <c r="M35" s="29"/>
    </row>
    <row r="36" spans="1:13" s="5" customFormat="1" x14ac:dyDescent="0.35">
      <c r="A36" s="34"/>
      <c r="C36" s="16"/>
      <c r="D36" s="6"/>
      <c r="E36" s="6"/>
      <c r="F36" s="6"/>
      <c r="G36" s="6"/>
      <c r="H36" s="6"/>
      <c r="I36" s="6"/>
      <c r="J36" s="6"/>
      <c r="M36" s="35"/>
    </row>
    <row r="37" spans="1:13" s="5" customFormat="1" ht="15.5" x14ac:dyDescent="0.35">
      <c r="A37" s="36" t="s">
        <v>33</v>
      </c>
      <c r="B37" s="37"/>
      <c r="C37" s="16"/>
      <c r="D37" s="6"/>
      <c r="E37" s="6"/>
      <c r="F37" s="6"/>
      <c r="G37" s="6"/>
      <c r="H37" s="6"/>
      <c r="I37" s="6"/>
      <c r="J37" s="6"/>
      <c r="M37" s="35"/>
    </row>
    <row r="38" spans="1:13" s="5" customFormat="1" x14ac:dyDescent="0.35">
      <c r="A38" s="34"/>
      <c r="C38" s="16"/>
      <c r="M38" s="35"/>
    </row>
    <row r="39" spans="1:13" s="5" customFormat="1" x14ac:dyDescent="0.35">
      <c r="A39" s="47"/>
      <c r="B39" s="48" t="s">
        <v>67</v>
      </c>
      <c r="C39" s="49"/>
      <c r="D39" s="17" t="s">
        <v>34</v>
      </c>
      <c r="E39" s="17" t="s">
        <v>35</v>
      </c>
      <c r="F39" s="17" t="s">
        <v>36</v>
      </c>
      <c r="G39" s="17" t="s">
        <v>37</v>
      </c>
      <c r="H39" s="17" t="s">
        <v>38</v>
      </c>
      <c r="I39" s="17" t="s">
        <v>39</v>
      </c>
      <c r="J39" s="17" t="s">
        <v>40</v>
      </c>
      <c r="K39" s="17" t="s">
        <v>12</v>
      </c>
      <c r="L39" s="17" t="s">
        <v>13</v>
      </c>
      <c r="M39" s="17" t="s">
        <v>14</v>
      </c>
    </row>
    <row r="40" spans="1:13" s="5" customFormat="1" ht="13" x14ac:dyDescent="0.3">
      <c r="A40" s="23"/>
      <c r="B40" s="110" t="s">
        <v>41</v>
      </c>
      <c r="C40" s="25">
        <f>C35+1</f>
        <v>18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5" customFormat="1" ht="13" x14ac:dyDescent="0.3">
      <c r="A41" s="23"/>
      <c r="B41" s="110" t="s">
        <v>42</v>
      </c>
      <c r="C41" s="25">
        <f t="shared" si="3"/>
        <v>19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s="5" customFormat="1" ht="13" x14ac:dyDescent="0.3">
      <c r="A42" s="23"/>
      <c r="B42" s="110" t="s">
        <v>43</v>
      </c>
      <c r="C42" s="25">
        <f t="shared" si="3"/>
        <v>20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s="5" customFormat="1" ht="13.5" customHeight="1" x14ac:dyDescent="0.3">
      <c r="A43" s="23"/>
      <c r="B43" s="108" t="str">
        <f>CONCATENATE("Check: row ",ROW(B42)," ≤ row ",ROW(B41))</f>
        <v>Check: row 42 ≤ row 41</v>
      </c>
      <c r="C43" s="25">
        <f t="shared" si="3"/>
        <v>21</v>
      </c>
      <c r="D43" s="120" t="str">
        <f>IF(AND(ISNUMBER(D41), ISNUMBER(D42)),IF(AND(D42 &lt;= D41), "Pass","Fail"),"")</f>
        <v/>
      </c>
      <c r="E43" s="120" t="str">
        <f t="shared" ref="E43:L43" si="5">IF(AND(ISNUMBER(E41), ISNUMBER(E42)),IF(AND(E42 &lt;= E41), "Pass","Fail"),"")</f>
        <v/>
      </c>
      <c r="F43" s="120" t="str">
        <f t="shared" si="5"/>
        <v/>
      </c>
      <c r="G43" s="120" t="str">
        <f t="shared" si="5"/>
        <v/>
      </c>
      <c r="H43" s="120" t="str">
        <f t="shared" si="5"/>
        <v/>
      </c>
      <c r="I43" s="120" t="str">
        <f t="shared" si="5"/>
        <v/>
      </c>
      <c r="J43" s="120" t="str">
        <f t="shared" si="5"/>
        <v/>
      </c>
      <c r="K43" s="120" t="str">
        <f t="shared" si="5"/>
        <v/>
      </c>
      <c r="L43" s="120" t="str">
        <f t="shared" si="5"/>
        <v/>
      </c>
      <c r="M43" s="120" t="str">
        <f>IF(AND(ISNUMBER(M41), ISNUMBER(M42)),IF(AND(M42 &lt;= M41), "Pass","Fail"),"")</f>
        <v/>
      </c>
    </row>
    <row r="44" spans="1:13" s="5" customFormat="1" ht="13" x14ac:dyDescent="0.3">
      <c r="A44" s="23"/>
      <c r="B44" s="110" t="s">
        <v>44</v>
      </c>
      <c r="C44" s="25">
        <f>C43+1</f>
        <v>22</v>
      </c>
      <c r="D44" s="100" t="str">
        <f>IF(AND(ISNUMBER(D$40),ISNUMBER(D$41)),D$40-D$41,"")</f>
        <v/>
      </c>
      <c r="E44" s="100" t="str">
        <f t="shared" ref="E44:M44" si="6">IF(AND(ISNUMBER(E$40),ISNUMBER(E$41)),E$40-E$41,"")</f>
        <v/>
      </c>
      <c r="F44" s="100" t="str">
        <f t="shared" si="6"/>
        <v/>
      </c>
      <c r="G44" s="100" t="str">
        <f t="shared" si="6"/>
        <v/>
      </c>
      <c r="H44" s="100" t="str">
        <f t="shared" si="6"/>
        <v/>
      </c>
      <c r="I44" s="100" t="str">
        <f t="shared" si="6"/>
        <v/>
      </c>
      <c r="J44" s="100" t="str">
        <f t="shared" si="6"/>
        <v/>
      </c>
      <c r="K44" s="100" t="str">
        <f t="shared" si="6"/>
        <v/>
      </c>
      <c r="L44" s="100" t="str">
        <f t="shared" si="6"/>
        <v/>
      </c>
      <c r="M44" s="100" t="str">
        <f t="shared" si="6"/>
        <v/>
      </c>
    </row>
    <row r="45" spans="1:13" s="5" customFormat="1" ht="13" x14ac:dyDescent="0.3">
      <c r="A45" s="23"/>
      <c r="B45" s="110" t="s">
        <v>45</v>
      </c>
      <c r="C45" s="25">
        <f t="shared" si="3"/>
        <v>23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 s="5" customFormat="1" ht="13" x14ac:dyDescent="0.3">
      <c r="A46" s="23"/>
      <c r="B46" s="108" t="str">
        <f>CONCATENATE("Check: row ",ROW(B40)," &gt; 0 ↔ row ",ROW(B45), "&gt; 0")</f>
        <v>Check: row 40 &gt; 0 ↔ row 45&gt; 0</v>
      </c>
      <c r="C46" s="25">
        <f t="shared" si="3"/>
        <v>24</v>
      </c>
      <c r="D46" s="120" t="str">
        <f>IF(AND(ISNUMBER(D40), ISNUMBER(D45)),IF(D45 &gt;0, IF(D40&gt;0, "Pass","Fail"), IF(D40=0, "Pass","Fail")), "")</f>
        <v/>
      </c>
      <c r="E46" s="120" t="str">
        <f t="shared" ref="E46:L46" si="7">IF(AND(ISNUMBER(E40), ISNUMBER(E45)),IF(E45 &gt;0, IF(E40&gt;0, "Pass","Fail"), IF(E40=0, "Pass","Fail")), "")</f>
        <v/>
      </c>
      <c r="F46" s="120" t="str">
        <f t="shared" si="7"/>
        <v/>
      </c>
      <c r="G46" s="120" t="str">
        <f t="shared" si="7"/>
        <v/>
      </c>
      <c r="H46" s="120" t="str">
        <f t="shared" si="7"/>
        <v/>
      </c>
      <c r="I46" s="120" t="str">
        <f t="shared" si="7"/>
        <v/>
      </c>
      <c r="J46" s="120" t="str">
        <f t="shared" si="7"/>
        <v/>
      </c>
      <c r="K46" s="120" t="str">
        <f t="shared" si="7"/>
        <v/>
      </c>
      <c r="L46" s="120" t="str">
        <f t="shared" si="7"/>
        <v/>
      </c>
      <c r="M46" s="120" t="str">
        <f>IF(AND(ISNUMBER(M40), ISNUMBER(M45)),IF(M45 &gt;0, IF(M40&gt;0, "Pass","Fail"), IF(M40=0, "Pass","Fail")), "")</f>
        <v/>
      </c>
    </row>
    <row r="47" spans="1:13" s="5" customFormat="1" x14ac:dyDescent="0.35">
      <c r="A47" s="23"/>
      <c r="B47" s="110" t="s">
        <v>46</v>
      </c>
      <c r="C47" s="25">
        <f>C46+1</f>
        <v>25</v>
      </c>
      <c r="D47" s="124"/>
      <c r="E47" s="125"/>
      <c r="F47" s="125"/>
      <c r="G47" s="125"/>
      <c r="H47" s="125"/>
      <c r="I47" s="126"/>
      <c r="J47" s="126"/>
      <c r="K47" s="127"/>
      <c r="L47" s="127"/>
      <c r="M47" s="128"/>
    </row>
    <row r="48" spans="1:13" s="5" customFormat="1" ht="14.5" customHeight="1" x14ac:dyDescent="0.3">
      <c r="A48" s="23"/>
      <c r="B48" s="118" t="str">
        <f ca="1">CONCATENATE("Check: sum(row ",ROW(B45),") ≥ ",CELL("address",D47),"≥ max(row ",ROW(B45),")")</f>
        <v>Check: sum(row 45) ≥ $D$47≥ max(row 45)</v>
      </c>
      <c r="C48" s="25">
        <f t="shared" ref="C48:C49" si="8">C47+1</f>
        <v>26</v>
      </c>
      <c r="D48" s="129" t="str">
        <f>IF(AND(SUM(D45:M45)&gt;=D47,D47&gt;=MAX(D45:M45)), "Pass","Fail")</f>
        <v>Pass</v>
      </c>
      <c r="E48" s="130"/>
      <c r="F48" s="130"/>
      <c r="G48" s="130"/>
      <c r="H48" s="130"/>
      <c r="I48" s="130"/>
      <c r="J48" s="130"/>
      <c r="K48" s="130"/>
      <c r="L48" s="130"/>
      <c r="M48" s="131"/>
    </row>
    <row r="49" spans="1:13" s="5" customFormat="1" ht="14.5" customHeight="1" x14ac:dyDescent="0.3">
      <c r="A49" s="117"/>
      <c r="B49" s="108" t="str">
        <f ca="1">CONCATENATE("Check: sum(row ",ROW(B44),")/",CELL("address",D47),"≥ ZAR 350,000 or ",CELL("address",D47),"=0")</f>
        <v>Check: sum(row 44)/$D$47≥ ZAR 350,000 or $D$47=0</v>
      </c>
      <c r="C49" s="25">
        <f t="shared" si="8"/>
        <v>27</v>
      </c>
      <c r="D49" s="121" t="str">
        <f>IF(D47=0, "Pass",IF(SUM(D44:M44)/D47&gt;=350000/(D11*D12),"Pass", "Fail"))</f>
        <v>Pass</v>
      </c>
      <c r="E49" s="122"/>
      <c r="F49" s="122"/>
      <c r="G49" s="122"/>
      <c r="H49" s="122"/>
      <c r="I49" s="122"/>
      <c r="J49" s="122"/>
      <c r="K49" s="122"/>
      <c r="L49" s="122"/>
      <c r="M49" s="123"/>
    </row>
    <row r="50" spans="1:13" s="5" customFormat="1" ht="13" x14ac:dyDescent="0.3">
      <c r="A50" s="23"/>
      <c r="B50" s="50" t="s">
        <v>47</v>
      </c>
      <c r="C50" s="25">
        <f>C49+1</f>
        <v>28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</row>
    <row r="51" spans="1:13" s="5" customFormat="1" ht="13" x14ac:dyDescent="0.3">
      <c r="A51" s="23"/>
      <c r="B51" s="50" t="s">
        <v>48</v>
      </c>
      <c r="C51" s="25">
        <f t="shared" si="3"/>
        <v>29</v>
      </c>
      <c r="D51" s="45" t="str">
        <f>IF(AND(ISNUMBER(D$44),ISNUMBER(D$50)),D$44-D$50,"")</f>
        <v/>
      </c>
      <c r="E51" s="45" t="str">
        <f t="shared" ref="E51:M51" si="9">IF(AND(ISNUMBER(E$44),ISNUMBER(E$50)),E$44-E$50,"")</f>
        <v/>
      </c>
      <c r="F51" s="45" t="str">
        <f t="shared" si="9"/>
        <v/>
      </c>
      <c r="G51" s="45" t="str">
        <f t="shared" si="9"/>
        <v/>
      </c>
      <c r="H51" s="45" t="str">
        <f t="shared" si="9"/>
        <v/>
      </c>
      <c r="I51" s="45" t="str">
        <f t="shared" si="9"/>
        <v/>
      </c>
      <c r="J51" s="45" t="str">
        <f t="shared" si="9"/>
        <v/>
      </c>
      <c r="K51" s="45" t="str">
        <f t="shared" si="9"/>
        <v/>
      </c>
      <c r="L51" s="45" t="str">
        <f t="shared" si="9"/>
        <v/>
      </c>
      <c r="M51" s="45" t="str">
        <f t="shared" si="9"/>
        <v/>
      </c>
    </row>
    <row r="52" spans="1:13" s="5" customFormat="1" x14ac:dyDescent="0.35">
      <c r="A52" s="23"/>
      <c r="B52" s="50" t="s">
        <v>49</v>
      </c>
      <c r="C52" s="25">
        <f t="shared" si="3"/>
        <v>30</v>
      </c>
      <c r="D52" s="124"/>
      <c r="E52" s="125"/>
      <c r="F52" s="125"/>
      <c r="G52" s="125"/>
      <c r="H52" s="125"/>
      <c r="I52" s="126"/>
      <c r="J52" s="126"/>
      <c r="K52" s="127"/>
      <c r="L52" s="127"/>
      <c r="M52" s="128"/>
    </row>
    <row r="53" spans="1:13" s="5" customFormat="1" ht="14.5" customHeight="1" x14ac:dyDescent="0.3">
      <c r="A53" s="34"/>
      <c r="B53" s="108" t="str">
        <f ca="1">CONCATENATE("Check: ",CELL("address",D47),"≥ ",CELL("address",D52),"≥ 0")</f>
        <v>Check: $D$47≥ $D$52≥ 0</v>
      </c>
      <c r="C53" s="25">
        <f t="shared" si="3"/>
        <v>31</v>
      </c>
      <c r="D53" s="121" t="str">
        <f>IF(AND(ISNUMBER(D47), ISNUMBER(D52)), IF(AND(D47&gt;=D52, D52&gt;=0), "Pass","Fail"),"")</f>
        <v/>
      </c>
      <c r="E53" s="122"/>
      <c r="F53" s="122"/>
      <c r="G53" s="122"/>
      <c r="H53" s="122"/>
      <c r="I53" s="122"/>
      <c r="J53" s="122"/>
      <c r="K53" s="122"/>
      <c r="L53" s="122"/>
      <c r="M53" s="123"/>
    </row>
    <row r="54" spans="1:13" s="5" customFormat="1" ht="14.5" customHeight="1" x14ac:dyDescent="0.3">
      <c r="A54" s="23"/>
      <c r="B54" s="118" t="str">
        <f ca="1">CONCATENATE("Check: sum(row ",ROW(B51),")/(",CELL("address",D47)," - ",CELL("address",D52),")≥ ZAR 350,000 or ",CELL("address",D47)," - ",CELL("address",D52),"=0")</f>
        <v>Check: sum(row 51)/($D$47 - $D$52)≥ ZAR 350,000 or $D$47 - $D$52=0</v>
      </c>
      <c r="C54" s="25">
        <f t="shared" si="3"/>
        <v>32</v>
      </c>
      <c r="D54" s="121" t="str">
        <f>IF(D47-D52=0,"Pass", IF(SUM(D51:M51)/(D47-D52)&gt;=350000/(D11*D12),"Pass","Fail"))</f>
        <v>Pass</v>
      </c>
      <c r="E54" s="122"/>
      <c r="F54" s="122"/>
      <c r="G54" s="122"/>
      <c r="H54" s="122"/>
      <c r="I54" s="122"/>
      <c r="J54" s="122"/>
      <c r="K54" s="122"/>
      <c r="L54" s="122"/>
      <c r="M54" s="123"/>
    </row>
    <row r="55" spans="1:13" s="5" customFormat="1" ht="14.5" customHeight="1" x14ac:dyDescent="0.3">
      <c r="A55" s="34"/>
      <c r="B55" s="108"/>
      <c r="C55" s="106"/>
      <c r="D55" s="111"/>
      <c r="E55" s="111"/>
      <c r="F55" s="111"/>
      <c r="G55" s="111"/>
      <c r="H55" s="111"/>
      <c r="I55" s="111"/>
      <c r="J55" s="111"/>
      <c r="K55" s="111"/>
      <c r="L55" s="111"/>
      <c r="M55" s="112"/>
    </row>
    <row r="56" spans="1:13" s="5" customFormat="1" ht="13" x14ac:dyDescent="0.3">
      <c r="A56" s="34"/>
      <c r="B56" s="50" t="s">
        <v>41</v>
      </c>
      <c r="C56" s="25">
        <f>C54+1</f>
        <v>33</v>
      </c>
      <c r="D56" s="54"/>
      <c r="E56" s="55"/>
      <c r="F56" s="55"/>
      <c r="G56" s="55"/>
      <c r="H56" s="55"/>
      <c r="I56" s="56"/>
      <c r="J56" s="56"/>
      <c r="K56" s="55"/>
      <c r="L56" s="57"/>
      <c r="M56" s="45" t="str">
        <f>IF(COUNT($D40:$M40)&gt;0,AVERAGE($D40:$M40),"")</f>
        <v/>
      </c>
    </row>
    <row r="57" spans="1:13" s="5" customFormat="1" ht="13" x14ac:dyDescent="0.3">
      <c r="A57" s="34"/>
      <c r="B57" s="50" t="s">
        <v>42</v>
      </c>
      <c r="C57" s="25">
        <f>C56+1</f>
        <v>34</v>
      </c>
      <c r="D57" s="58"/>
      <c r="E57" s="52"/>
      <c r="F57" s="52"/>
      <c r="G57" s="52"/>
      <c r="H57" s="52"/>
      <c r="I57" s="53"/>
      <c r="J57" s="53"/>
      <c r="K57" s="52"/>
      <c r="L57" s="59"/>
      <c r="M57" s="45" t="str">
        <f>IF(COUNT($D41:$M41)&gt;0,AVERAGE($D41:$M41),"")</f>
        <v/>
      </c>
    </row>
    <row r="58" spans="1:13" s="5" customFormat="1" ht="13" x14ac:dyDescent="0.3">
      <c r="A58" s="34"/>
      <c r="B58" s="50" t="s">
        <v>43</v>
      </c>
      <c r="C58" s="25">
        <f t="shared" ref="C58:C62" si="10">C57+1</f>
        <v>35</v>
      </c>
      <c r="D58" s="58"/>
      <c r="E58" s="52"/>
      <c r="F58" s="52"/>
      <c r="G58" s="52"/>
      <c r="H58" s="52"/>
      <c r="I58" s="53"/>
      <c r="J58" s="53"/>
      <c r="K58" s="52"/>
      <c r="L58" s="59"/>
      <c r="M58" s="45" t="str">
        <f>IF(COUNT($D42:$M42)&gt;0,AVERAGE($D42:$M42),"")</f>
        <v/>
      </c>
    </row>
    <row r="59" spans="1:13" s="5" customFormat="1" ht="13" x14ac:dyDescent="0.3">
      <c r="A59" s="34"/>
      <c r="B59" s="50" t="s">
        <v>44</v>
      </c>
      <c r="C59" s="25">
        <f t="shared" si="10"/>
        <v>36</v>
      </c>
      <c r="D59" s="58"/>
      <c r="E59" s="52"/>
      <c r="F59" s="52"/>
      <c r="G59" s="52"/>
      <c r="H59" s="52"/>
      <c r="I59" s="53"/>
      <c r="J59" s="53"/>
      <c r="K59" s="52"/>
      <c r="L59" s="59"/>
      <c r="M59" s="45" t="str">
        <f>IF(COUNT($D44:$M44)&gt;0,AVERAGE($D44:$M44),"")</f>
        <v/>
      </c>
    </row>
    <row r="60" spans="1:13" s="5" customFormat="1" ht="13" x14ac:dyDescent="0.3">
      <c r="A60" s="34"/>
      <c r="B60" s="50" t="s">
        <v>45</v>
      </c>
      <c r="C60" s="25">
        <f t="shared" si="10"/>
        <v>37</v>
      </c>
      <c r="D60" s="58"/>
      <c r="E60" s="52"/>
      <c r="F60" s="52"/>
      <c r="G60" s="52"/>
      <c r="H60" s="52"/>
      <c r="I60" s="53"/>
      <c r="J60" s="53"/>
      <c r="K60" s="52"/>
      <c r="L60" s="59"/>
      <c r="M60" s="45" t="str">
        <f>IF(COUNT($D45:$M45)&gt;0,AVERAGE($D45:$M45),"")</f>
        <v/>
      </c>
    </row>
    <row r="61" spans="1:13" s="5" customFormat="1" ht="13" x14ac:dyDescent="0.3">
      <c r="A61" s="34"/>
      <c r="B61" s="50" t="s">
        <v>47</v>
      </c>
      <c r="C61" s="25">
        <f t="shared" si="10"/>
        <v>38</v>
      </c>
      <c r="D61" s="58"/>
      <c r="E61" s="52"/>
      <c r="F61" s="52"/>
      <c r="G61" s="52"/>
      <c r="H61" s="52"/>
      <c r="I61" s="53"/>
      <c r="J61" s="53"/>
      <c r="K61" s="52"/>
      <c r="L61" s="59"/>
      <c r="M61" s="45" t="str">
        <f>IF(COUNT($D50:$M50)&gt;0,AVERAGE($D50:$M50),"")</f>
        <v/>
      </c>
    </row>
    <row r="62" spans="1:13" s="5" customFormat="1" ht="13" x14ac:dyDescent="0.3">
      <c r="A62" s="34"/>
      <c r="B62" s="50" t="s">
        <v>48</v>
      </c>
      <c r="C62" s="25">
        <f t="shared" si="10"/>
        <v>39</v>
      </c>
      <c r="D62" s="60"/>
      <c r="E62" s="61"/>
      <c r="F62" s="61"/>
      <c r="G62" s="61"/>
      <c r="H62" s="61"/>
      <c r="I62" s="62"/>
      <c r="J62" s="62"/>
      <c r="K62" s="61"/>
      <c r="L62" s="63"/>
      <c r="M62" s="45" t="str">
        <f>IF(COUNT($D51:$M51)&gt;0,AVERAGE($D51:$M51),"")</f>
        <v/>
      </c>
    </row>
    <row r="63" spans="1:13" s="5" customFormat="1" x14ac:dyDescent="0.35">
      <c r="A63" s="34"/>
      <c r="C63" s="16"/>
      <c r="M63" s="35"/>
    </row>
    <row r="64" spans="1:13" s="5" customFormat="1" ht="15.5" x14ac:dyDescent="0.35">
      <c r="A64" s="64" t="s">
        <v>50</v>
      </c>
      <c r="B64" s="65"/>
      <c r="C64" s="66"/>
      <c r="D64" s="67"/>
      <c r="E64" s="67"/>
      <c r="F64" s="67"/>
      <c r="G64" s="67"/>
      <c r="H64" s="67"/>
      <c r="I64" s="68"/>
      <c r="J64" s="68"/>
      <c r="K64" s="68"/>
      <c r="L64" s="68"/>
      <c r="M64" s="69"/>
    </row>
    <row r="65" spans="1:92" s="5" customFormat="1" ht="13" x14ac:dyDescent="0.3">
      <c r="A65" s="23"/>
      <c r="B65" s="70" t="s">
        <v>51</v>
      </c>
      <c r="C65" s="25">
        <f>C62+1</f>
        <v>40</v>
      </c>
      <c r="D65" s="71"/>
      <c r="E65" s="72"/>
      <c r="F65" s="72"/>
      <c r="G65" s="72"/>
      <c r="H65" s="72"/>
      <c r="I65" s="72"/>
      <c r="J65" s="72"/>
      <c r="K65" s="72"/>
      <c r="L65" s="73"/>
      <c r="M65" s="45" t="str" cm="1">
        <f t="array" ref="M65">IF(AND(ISNUMBER(K$27:M$27),ISNUMBER(K$18:M$18),ISNUMBER(K$28:M$28)),MIN(AVERAGE(K$27:M$27),0.0225*AVERAGE(K$18:M$18))+AVERAGE(K$28:M$28),"")</f>
        <v/>
      </c>
    </row>
    <row r="66" spans="1:92" s="5" customFormat="1" ht="13" x14ac:dyDescent="0.3">
      <c r="A66" s="23"/>
      <c r="B66" s="70" t="s">
        <v>52</v>
      </c>
      <c r="C66" s="25">
        <f t="shared" ref="C66:C80" si="11">C65+1</f>
        <v>41</v>
      </c>
      <c r="D66" s="74"/>
      <c r="E66" s="75"/>
      <c r="F66" s="75"/>
      <c r="G66" s="75"/>
      <c r="H66" s="75"/>
      <c r="I66" s="75"/>
      <c r="J66" s="75"/>
      <c r="K66" s="75"/>
      <c r="L66" s="76"/>
      <c r="M66" s="45" t="str" cm="1">
        <f t="array" ref="M66">IF(AND(ISNUMBER($K33:$M33),ISNUMBER($K35:$M35),ISNUMBER(K$29:M$29),ISNUMBER(K$30:M$30)),MAX(AVERAGE($K33:$M33),AVERAGE($K35:$M35))+MAX(AVERAGE(K$29:M$29),AVERAGE(K$30:M$30)),"")</f>
        <v/>
      </c>
    </row>
    <row r="67" spans="1:92" s="5" customFormat="1" ht="13" x14ac:dyDescent="0.3">
      <c r="A67" s="23"/>
      <c r="B67" s="70" t="s">
        <v>53</v>
      </c>
      <c r="C67" s="25">
        <f t="shared" si="11"/>
        <v>42</v>
      </c>
      <c r="D67" s="77"/>
      <c r="E67" s="78"/>
      <c r="F67" s="78"/>
      <c r="G67" s="78"/>
      <c r="H67" s="78"/>
      <c r="I67" s="78"/>
      <c r="J67" s="78"/>
      <c r="K67" s="78"/>
      <c r="L67" s="113"/>
      <c r="M67" s="45" t="str" cm="1">
        <f t="array" ref="M67">IF(AND(ISNUMBER(K$31:M$31)+ISNUMBER(K$32:M$32)),AVERAGE(ABS(K$31:M$31))+AVERAGE(ABS(K$32:M$32)),"")</f>
        <v/>
      </c>
    </row>
    <row r="68" spans="1:92" s="105" customFormat="1" ht="13" x14ac:dyDescent="0.3">
      <c r="A68" s="23"/>
      <c r="B68" s="70" t="s">
        <v>54</v>
      </c>
      <c r="C68" s="25">
        <f t="shared" si="11"/>
        <v>43</v>
      </c>
      <c r="D68" s="74"/>
      <c r="E68" s="75"/>
      <c r="F68" s="75"/>
      <c r="G68" s="75"/>
      <c r="H68" s="75"/>
      <c r="I68" s="75"/>
      <c r="J68" s="75"/>
      <c r="K68" s="75"/>
      <c r="L68" s="113"/>
      <c r="M68" s="45" t="str">
        <f>IF(AND(ISNUMBER($M$65),ISNUMBER($M$66),ISNUMBER(M67)),SUM($M$65:$M$67),"")</f>
        <v/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5" customFormat="1" ht="13" x14ac:dyDescent="0.3">
      <c r="A69" s="23"/>
      <c r="B69" s="79" t="s">
        <v>55</v>
      </c>
      <c r="C69" s="25">
        <f t="shared" si="11"/>
        <v>44</v>
      </c>
      <c r="D69" s="74"/>
      <c r="E69" s="75"/>
      <c r="F69" s="75"/>
      <c r="G69" s="75"/>
      <c r="H69" s="75"/>
      <c r="I69" s="75"/>
      <c r="J69" s="75"/>
      <c r="K69" s="75"/>
      <c r="L69" s="113"/>
      <c r="M69" s="45" t="str">
        <f>IF(AND(ISNUMBER(D$11),ISNUMBER($D$12),ISNUMBER(M$68)),IF((1/D$11)*$D$12*M$68&lt;=1000000000,1,IF((1/D$11)*$D$12*M$68&lt;=30000000000,2,3)),"")</f>
        <v/>
      </c>
    </row>
    <row r="70" spans="1:92" s="5" customFormat="1" ht="13" x14ac:dyDescent="0.3">
      <c r="A70" s="23"/>
      <c r="B70" s="70" t="s">
        <v>56</v>
      </c>
      <c r="C70" s="25">
        <f>C69+1</f>
        <v>45</v>
      </c>
      <c r="D70" s="74"/>
      <c r="E70" s="75"/>
      <c r="F70" s="75"/>
      <c r="G70" s="75"/>
      <c r="H70" s="75"/>
      <c r="I70" s="75"/>
      <c r="J70" s="75"/>
      <c r="K70" s="75"/>
      <c r="L70" s="113"/>
      <c r="M70" s="45" t="str">
        <f>IF(AND(ISNUMBER(D$11),ISNUMBER($D$12),ISNUMBER(M$68)),IF(M$68&lt;(1000000000/((1/D$11)*$D$12)),0.12*M$68,IF(M$68&lt;(30000000000/((1/D$11)*$D$12)),(120000000/((1/D$11)*$D$12))+0.15*($M$68-(1000000000/((1/D$11)*$D$12))),(4470000000/((1/D$11)*$D$12))+0.18*($M$68-(30000000000/((1/D$11)*$D$12))))),"")</f>
        <v/>
      </c>
    </row>
    <row r="71" spans="1:92" s="105" customFormat="1" ht="13" x14ac:dyDescent="0.3">
      <c r="A71" s="23"/>
      <c r="B71" s="70" t="s">
        <v>57</v>
      </c>
      <c r="C71" s="25">
        <f t="shared" si="11"/>
        <v>46</v>
      </c>
      <c r="D71" s="74"/>
      <c r="E71" s="75"/>
      <c r="F71" s="75"/>
      <c r="G71" s="75"/>
      <c r="H71" s="75"/>
      <c r="I71" s="75"/>
      <c r="J71" s="75"/>
      <c r="K71" s="75"/>
      <c r="L71" s="80"/>
      <c r="M71" s="119"/>
      <c r="N71" s="5"/>
      <c r="O71" s="5" t="str">
        <f>IF(AND(ISNUMBER(M$68),ISNUMBER(M$72)),M$68-M$72,"")</f>
        <v/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</row>
    <row r="72" spans="1:92" s="105" customFormat="1" ht="13" x14ac:dyDescent="0.3">
      <c r="A72" s="23"/>
      <c r="B72" s="70" t="s">
        <v>58</v>
      </c>
      <c r="C72" s="25">
        <f t="shared" si="11"/>
        <v>47</v>
      </c>
      <c r="D72" s="114"/>
      <c r="E72" s="115"/>
      <c r="F72" s="115"/>
      <c r="G72" s="115"/>
      <c r="H72" s="115"/>
      <c r="I72" s="115"/>
      <c r="J72" s="115"/>
      <c r="K72" s="115"/>
      <c r="L72" s="113"/>
      <c r="M72" s="45" t="str">
        <f>IF(AND(ISNUMBER(M$68),ISNUMBER(M$71)),M$71-M$68,"")</f>
        <v/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</row>
    <row r="73" spans="1:92" s="5" customFormat="1" ht="13" x14ac:dyDescent="0.3">
      <c r="A73" s="23"/>
      <c r="B73" s="70" t="s">
        <v>59</v>
      </c>
      <c r="C73" s="25">
        <f>C72+1</f>
        <v>48</v>
      </c>
      <c r="D73" s="83"/>
      <c r="E73" s="84"/>
      <c r="F73" s="84"/>
      <c r="G73" s="84"/>
      <c r="H73" s="84"/>
      <c r="I73" s="84"/>
      <c r="J73" s="84"/>
      <c r="K73" s="84"/>
      <c r="L73" s="85"/>
      <c r="M73" s="45" t="str" cm="1">
        <f t="array" ref="M73">IF(AND(ISNUMBER(D$44:M$44)),AVERAGE(D$44:M$44)*15,"")</f>
        <v/>
      </c>
    </row>
    <row r="74" spans="1:92" s="5" customFormat="1" ht="13" x14ac:dyDescent="0.3">
      <c r="A74" s="23"/>
      <c r="B74" s="70" t="s">
        <v>60</v>
      </c>
      <c r="C74" s="25">
        <f>C73+1</f>
        <v>49</v>
      </c>
      <c r="D74" s="86"/>
      <c r="E74" s="87"/>
      <c r="F74" s="87"/>
      <c r="G74" s="87"/>
      <c r="H74" s="87"/>
      <c r="I74" s="87"/>
      <c r="J74" s="87"/>
      <c r="K74" s="87"/>
      <c r="L74" s="88"/>
      <c r="M74" s="89" t="str">
        <f>IF($D$8="No",1,IF(AND(ISNUMBER(M70),ISNUMBER(M73)),(LN(EXP(1)-1+(M73/M70)^0.8)),""))</f>
        <v/>
      </c>
    </row>
    <row r="75" spans="1:92" s="5" customFormat="1" x14ac:dyDescent="0.35">
      <c r="A75" s="34"/>
      <c r="C75" s="16"/>
      <c r="M75" s="35"/>
    </row>
    <row r="76" spans="1:92" s="5" customFormat="1" ht="15.5" x14ac:dyDescent="0.35">
      <c r="A76" s="64" t="s">
        <v>61</v>
      </c>
      <c r="B76" s="65"/>
      <c r="C76" s="66"/>
      <c r="D76" s="67"/>
      <c r="E76" s="67"/>
      <c r="F76" s="67"/>
      <c r="G76" s="67"/>
      <c r="H76" s="67"/>
      <c r="I76" s="67"/>
      <c r="J76" s="67"/>
      <c r="K76" s="67"/>
      <c r="L76" s="68"/>
      <c r="M76" s="69"/>
    </row>
    <row r="77" spans="1:92" s="5" customFormat="1" ht="13" x14ac:dyDescent="0.3">
      <c r="A77" s="23"/>
      <c r="B77" s="79" t="s">
        <v>62</v>
      </c>
      <c r="C77" s="25">
        <f>C74+1</f>
        <v>50</v>
      </c>
      <c r="D77" s="90"/>
      <c r="E77" s="91"/>
      <c r="F77" s="91"/>
      <c r="G77" s="91"/>
      <c r="H77" s="91"/>
      <c r="I77" s="91"/>
      <c r="J77" s="91"/>
      <c r="K77" s="91"/>
      <c r="L77" s="92"/>
      <c r="M77" s="45" t="str">
        <f>IF(AND(ISNUMBER(M$70),ISNUMBER(M$74)),M$70*M$74,"")</f>
        <v/>
      </c>
    </row>
    <row r="78" spans="1:92" s="5" customFormat="1" ht="13" x14ac:dyDescent="0.3">
      <c r="A78" s="23"/>
      <c r="B78" s="93" t="s">
        <v>63</v>
      </c>
      <c r="C78" s="25">
        <f t="shared" si="11"/>
        <v>51</v>
      </c>
      <c r="D78" s="81"/>
      <c r="E78" s="82"/>
      <c r="F78" s="82"/>
      <c r="G78" s="82"/>
      <c r="H78" s="82"/>
      <c r="I78" s="82"/>
      <c r="J78" s="82"/>
      <c r="K78" s="82"/>
      <c r="L78" s="76"/>
      <c r="M78" s="45" t="str">
        <f>IF(AND(ISNUMBER(M$70)),M$70,"")</f>
        <v/>
      </c>
    </row>
    <row r="79" spans="1:92" s="5" customFormat="1" ht="13" x14ac:dyDescent="0.3">
      <c r="A79" s="23"/>
      <c r="B79" s="79" t="s">
        <v>64</v>
      </c>
      <c r="C79" s="25">
        <f>C78+1</f>
        <v>52</v>
      </c>
      <c r="D79" s="83"/>
      <c r="E79" s="84"/>
      <c r="F79" s="84"/>
      <c r="G79" s="84"/>
      <c r="H79" s="84"/>
      <c r="I79" s="84"/>
      <c r="J79" s="84"/>
      <c r="K79" s="84"/>
      <c r="L79" s="85"/>
      <c r="M79" s="45" t="str">
        <f>IF(AND(ISNUMBER(M$77)),12.5*M$77,"")</f>
        <v/>
      </c>
    </row>
    <row r="80" spans="1:92" s="5" customFormat="1" ht="13" x14ac:dyDescent="0.3">
      <c r="A80" s="23"/>
      <c r="B80" s="93" t="s">
        <v>63</v>
      </c>
      <c r="C80" s="25">
        <f t="shared" si="11"/>
        <v>53</v>
      </c>
      <c r="D80" s="94"/>
      <c r="E80" s="95"/>
      <c r="F80" s="95"/>
      <c r="G80" s="95"/>
      <c r="H80" s="95"/>
      <c r="I80" s="95"/>
      <c r="J80" s="95"/>
      <c r="K80" s="95"/>
      <c r="L80" s="96"/>
      <c r="M80" s="45" t="str">
        <f>IF(AND(ISNUMBER(M$78)),12.5*M$78,"")</f>
        <v/>
      </c>
    </row>
  </sheetData>
  <mergeCells count="6">
    <mergeCell ref="D54:M54"/>
    <mergeCell ref="D47:M47"/>
    <mergeCell ref="D52:M52"/>
    <mergeCell ref="D48:M48"/>
    <mergeCell ref="D49:M49"/>
    <mergeCell ref="D53:M53"/>
  </mergeCells>
  <conditionalFormatting sqref="K36:N36 A16:B37 K14:M15 A2:A3 K2:N3 L37:N37 K20:N22 K63:N65 L66:N66 A77:B78 A81:B1048576 K81:N1048576 N79:N80 D39:N39 I65:J65 I67:N70 I73:N73 I74:L74 I77:N78 D15:J15 N5:N7 N14:N19 N23:N35 N38 N40:N43 N74 D5:D7 D52:H52 E10:N13 A5:B7 A8 E8:N8 A10:B14 C10:D12 A39:B43 D53:D55 I72:L72 N71:N72 N45:N55 K56:K62 D56:H62 A45:B74 M56:N62">
    <cfRule type="cellIs" dxfId="171" priority="173" stopIfTrue="1" operator="equal">
      <formula>"Pass"</formula>
    </cfRule>
    <cfRule type="cellIs" dxfId="170" priority="174" stopIfTrue="1" operator="equal">
      <formula>"Fail"</formula>
    </cfRule>
  </conditionalFormatting>
  <conditionalFormatting sqref="N40:N43 L51:N51 N45:N50 N71 N17:N19 L27:N27 N23:N26 N28:N35">
    <cfRule type="cellIs" dxfId="169" priority="171" stopIfTrue="1" operator="equal">
      <formula>"Pass"</formula>
    </cfRule>
    <cfRule type="cellIs" dxfId="168" priority="172" stopIfTrue="1" operator="equal">
      <formula>"Fail"</formula>
    </cfRule>
  </conditionalFormatting>
  <conditionalFormatting sqref="K40:M42 C10:D12 I10:J12">
    <cfRule type="cellIs" dxfId="167" priority="170" stopIfTrue="1" operator="lessThan">
      <formula>0</formula>
    </cfRule>
  </conditionalFormatting>
  <conditionalFormatting sqref="K40:M42">
    <cfRule type="cellIs" dxfId="166" priority="168" stopIfTrue="1" operator="equal">
      <formula>"Pass"</formula>
    </cfRule>
    <cfRule type="cellIs" dxfId="165" priority="169" stopIfTrue="1" operator="equal">
      <formula>"Fail"</formula>
    </cfRule>
  </conditionalFormatting>
  <conditionalFormatting sqref="K45:M45">
    <cfRule type="cellIs" dxfId="164" priority="167" stopIfTrue="1" operator="lessThan">
      <formula>0</formula>
    </cfRule>
  </conditionalFormatting>
  <conditionalFormatting sqref="K45:M45">
    <cfRule type="cellIs" dxfId="163" priority="165" stopIfTrue="1" operator="equal">
      <formula>"Pass"</formula>
    </cfRule>
    <cfRule type="cellIs" dxfId="162" priority="166" stopIfTrue="1" operator="equal">
      <formula>"Fail"</formula>
    </cfRule>
  </conditionalFormatting>
  <conditionalFormatting sqref="L50:M50">
    <cfRule type="cellIs" dxfId="161" priority="164" stopIfTrue="1" operator="lessThan">
      <formula>0</formula>
    </cfRule>
  </conditionalFormatting>
  <conditionalFormatting sqref="L50:M50">
    <cfRule type="cellIs" dxfId="160" priority="162" stopIfTrue="1" operator="equal">
      <formula>"Pass"</formula>
    </cfRule>
    <cfRule type="cellIs" dxfId="159" priority="163" stopIfTrue="1" operator="equal">
      <formula>"Fail"</formula>
    </cfRule>
  </conditionalFormatting>
  <conditionalFormatting sqref="K71:M71 K66:K70 I66:J71">
    <cfRule type="cellIs" dxfId="158" priority="160" stopIfTrue="1" operator="equal">
      <formula>"Pass"</formula>
    </cfRule>
    <cfRule type="cellIs" dxfId="157" priority="161" stopIfTrue="1" operator="equal">
      <formula>"Fail"</formula>
    </cfRule>
  </conditionalFormatting>
  <conditionalFormatting sqref="K17:M18">
    <cfRule type="cellIs" dxfId="156" priority="159" stopIfTrue="1" operator="lessThan">
      <formula>0</formula>
    </cfRule>
  </conditionalFormatting>
  <conditionalFormatting sqref="K17:M18">
    <cfRule type="cellIs" dxfId="155" priority="157" stopIfTrue="1" operator="equal">
      <formula>"Pass"</formula>
    </cfRule>
    <cfRule type="cellIs" dxfId="154" priority="158" stopIfTrue="1" operator="equal">
      <formula>"Fail"</formula>
    </cfRule>
  </conditionalFormatting>
  <conditionalFormatting sqref="K23:M26">
    <cfRule type="cellIs" dxfId="153" priority="156" stopIfTrue="1" operator="lessThan">
      <formula>0</formula>
    </cfRule>
  </conditionalFormatting>
  <conditionalFormatting sqref="K23:M26">
    <cfRule type="cellIs" dxfId="152" priority="154" stopIfTrue="1" operator="equal">
      <formula>"Pass"</formula>
    </cfRule>
    <cfRule type="cellIs" dxfId="151" priority="155" stopIfTrue="1" operator="equal">
      <formula>"Fail"</formula>
    </cfRule>
  </conditionalFormatting>
  <conditionalFormatting sqref="K28:M33 K35:M35">
    <cfRule type="cellIs" dxfId="150" priority="153" stopIfTrue="1" operator="lessThan">
      <formula>0</formula>
    </cfRule>
  </conditionalFormatting>
  <conditionalFormatting sqref="K28:M35">
    <cfRule type="cellIs" dxfId="149" priority="151" stopIfTrue="1" operator="equal">
      <formula>"Pass"</formula>
    </cfRule>
    <cfRule type="cellIs" dxfId="148" priority="152" stopIfTrue="1" operator="equal">
      <formula>"Fail"</formula>
    </cfRule>
  </conditionalFormatting>
  <conditionalFormatting sqref="A38:B38 D38:N38">
    <cfRule type="cellIs" dxfId="147" priority="149" stopIfTrue="1" operator="equal">
      <formula>"Pass"</formula>
    </cfRule>
    <cfRule type="cellIs" dxfId="146" priority="150" stopIfTrue="1" operator="equal">
      <formula>"Fail"</formula>
    </cfRule>
  </conditionalFormatting>
  <conditionalFormatting sqref="N15 A15:B15">
    <cfRule type="cellIs" dxfId="145" priority="147" stopIfTrue="1" operator="equal">
      <formula>"Pass"</formula>
    </cfRule>
    <cfRule type="cellIs" dxfId="144" priority="148" stopIfTrue="1" operator="equal">
      <formula>"Fail"</formula>
    </cfRule>
  </conditionalFormatting>
  <conditionalFormatting sqref="K4:N4 A4 K5:M7">
    <cfRule type="cellIs" dxfId="143" priority="145" stopIfTrue="1" operator="equal">
      <formula>"Pass"</formula>
    </cfRule>
    <cfRule type="cellIs" dxfId="142" priority="146" stopIfTrue="1" operator="equal">
      <formula>"Fail"</formula>
    </cfRule>
  </conditionalFormatting>
  <conditionalFormatting sqref="K37">
    <cfRule type="cellIs" dxfId="141" priority="143" stopIfTrue="1" operator="equal">
      <formula>"Pass"</formula>
    </cfRule>
    <cfRule type="cellIs" dxfId="140" priority="144" stopIfTrue="1" operator="equal">
      <formula>"Fail"</formula>
    </cfRule>
  </conditionalFormatting>
  <conditionalFormatting sqref="K51:M51">
    <cfRule type="cellIs" dxfId="139" priority="141" stopIfTrue="1" operator="equal">
      <formula>"Pass"</formula>
    </cfRule>
    <cfRule type="cellIs" dxfId="138" priority="142" stopIfTrue="1" operator="equal">
      <formula>"Fail"</formula>
    </cfRule>
  </conditionalFormatting>
  <conditionalFormatting sqref="K50">
    <cfRule type="cellIs" dxfId="137" priority="140" stopIfTrue="1" operator="lessThan">
      <formula>0</formula>
    </cfRule>
  </conditionalFormatting>
  <conditionalFormatting sqref="K50">
    <cfRule type="cellIs" dxfId="136" priority="138" stopIfTrue="1" operator="equal">
      <formula>"Pass"</formula>
    </cfRule>
    <cfRule type="cellIs" dxfId="135" priority="139" stopIfTrue="1" operator="equal">
      <formula>"Fail"</formula>
    </cfRule>
  </conditionalFormatting>
  <conditionalFormatting sqref="K27:M27">
    <cfRule type="cellIs" dxfId="134" priority="136" stopIfTrue="1" operator="equal">
      <formula>"Pass"</formula>
    </cfRule>
    <cfRule type="cellIs" dxfId="133" priority="137" stopIfTrue="1" operator="equal">
      <formula>"Fail"</formula>
    </cfRule>
  </conditionalFormatting>
  <conditionalFormatting sqref="I66:K66">
    <cfRule type="cellIs" dxfId="132" priority="133" stopIfTrue="1" operator="equal">
      <formula>"Pass"</formula>
    </cfRule>
    <cfRule type="cellIs" dxfId="131" priority="134" stopIfTrue="1" operator="equal">
      <formula>"Fail"</formula>
    </cfRule>
  </conditionalFormatting>
  <conditionalFormatting sqref="I66:K66">
    <cfRule type="cellIs" dxfId="130" priority="135" stopIfTrue="1" operator="lessThan">
      <formula>0</formula>
    </cfRule>
  </conditionalFormatting>
  <conditionalFormatting sqref="D11:D12">
    <cfRule type="cellIs" dxfId="129" priority="130" stopIfTrue="1" operator="equal">
      <formula>"Pass"</formula>
    </cfRule>
    <cfRule type="cellIs" dxfId="128" priority="131" stopIfTrue="1" operator="equal">
      <formula>"Fail"</formula>
    </cfRule>
  </conditionalFormatting>
  <conditionalFormatting sqref="D11:D12">
    <cfRule type="cellIs" dxfId="127" priority="132" stopIfTrue="1" operator="lessThan">
      <formula>0</formula>
    </cfRule>
  </conditionalFormatting>
  <conditionalFormatting sqref="M74">
    <cfRule type="cellIs" dxfId="126" priority="127" stopIfTrue="1" operator="equal">
      <formula>"Pass"</formula>
    </cfRule>
    <cfRule type="cellIs" dxfId="125" priority="128" stopIfTrue="1" operator="equal">
      <formula>"Fail"</formula>
    </cfRule>
  </conditionalFormatting>
  <conditionalFormatting sqref="M74">
    <cfRule type="cellIs" dxfId="124" priority="129" stopIfTrue="1" operator="lessThan">
      <formula>0</formula>
    </cfRule>
  </conditionalFormatting>
  <conditionalFormatting sqref="C5:C7">
    <cfRule type="cellIs" dxfId="123" priority="125" stopIfTrue="1" operator="equal">
      <formula>"Pass"</formula>
    </cfRule>
    <cfRule type="cellIs" dxfId="122" priority="126" stopIfTrue="1" operator="equal">
      <formula>"Fail"</formula>
    </cfRule>
  </conditionalFormatting>
  <conditionalFormatting sqref="C12">
    <cfRule type="cellIs" dxfId="121" priority="119" stopIfTrue="1" operator="equal">
      <formula>"Pass"</formula>
    </cfRule>
    <cfRule type="cellIs" dxfId="120" priority="120" stopIfTrue="1" operator="equal">
      <formula>"Fail"</formula>
    </cfRule>
  </conditionalFormatting>
  <conditionalFormatting sqref="C11:C12">
    <cfRule type="cellIs" dxfId="119" priority="122" stopIfTrue="1" operator="equal">
      <formula>"Pass"</formula>
    </cfRule>
    <cfRule type="cellIs" dxfId="118" priority="123" stopIfTrue="1" operator="equal">
      <formula>"Fail"</formula>
    </cfRule>
  </conditionalFormatting>
  <conditionalFormatting sqref="C11:C12">
    <cfRule type="cellIs" dxfId="117" priority="124" stopIfTrue="1" operator="lessThan">
      <formula>0</formula>
    </cfRule>
  </conditionalFormatting>
  <conditionalFormatting sqref="C12">
    <cfRule type="cellIs" dxfId="116" priority="121" stopIfTrue="1" operator="lessThan">
      <formula>0</formula>
    </cfRule>
  </conditionalFormatting>
  <conditionalFormatting sqref="A75:B76 I75:N76">
    <cfRule type="cellIs" dxfId="115" priority="117" stopIfTrue="1" operator="equal">
      <formula>"Pass"</formula>
    </cfRule>
    <cfRule type="cellIs" dxfId="114" priority="118" stopIfTrue="1" operator="equal">
      <formula>"Fail"</formula>
    </cfRule>
  </conditionalFormatting>
  <conditionalFormatting sqref="A79:B80 I79:M80">
    <cfRule type="cellIs" dxfId="113" priority="115" stopIfTrue="1" operator="equal">
      <formula>"Pass"</formula>
    </cfRule>
    <cfRule type="cellIs" dxfId="112" priority="116" stopIfTrue="1" operator="equal">
      <formula>"Fail"</formula>
    </cfRule>
  </conditionalFormatting>
  <conditionalFormatting sqref="F2:J3 D63:J65 I66:J66 D67:J70 D72:J73 D74:I74 J5:J7 E5:H7 D77:J78 D81:J1048576 D13:J37 K15:M15 K63:K64">
    <cfRule type="cellIs" dxfId="111" priority="113" stopIfTrue="1" operator="equal">
      <formula>"Pass"</formula>
    </cfRule>
    <cfRule type="cellIs" dxfId="110" priority="114" stopIfTrue="1" operator="equal">
      <formula>"Fail"</formula>
    </cfRule>
  </conditionalFormatting>
  <conditionalFormatting sqref="I51:J51 I27:J27">
    <cfRule type="cellIs" dxfId="109" priority="111" stopIfTrue="1" operator="equal">
      <formula>"Pass"</formula>
    </cfRule>
    <cfRule type="cellIs" dxfId="108" priority="112" stopIfTrue="1" operator="equal">
      <formula>"Fail"</formula>
    </cfRule>
  </conditionalFormatting>
  <conditionalFormatting sqref="D40:J42">
    <cfRule type="cellIs" dxfId="107" priority="110" stopIfTrue="1" operator="lessThan">
      <formula>0</formula>
    </cfRule>
  </conditionalFormatting>
  <conditionalFormatting sqref="D40:J42">
    <cfRule type="cellIs" dxfId="106" priority="108" stopIfTrue="1" operator="equal">
      <formula>"Pass"</formula>
    </cfRule>
    <cfRule type="cellIs" dxfId="105" priority="109" stopIfTrue="1" operator="equal">
      <formula>"Fail"</formula>
    </cfRule>
  </conditionalFormatting>
  <conditionalFormatting sqref="D45:J45">
    <cfRule type="cellIs" dxfId="104" priority="107" stopIfTrue="1" operator="lessThan">
      <formula>0</formula>
    </cfRule>
  </conditionalFormatting>
  <conditionalFormatting sqref="D45:J45">
    <cfRule type="cellIs" dxfId="103" priority="105" stopIfTrue="1" operator="equal">
      <formula>"Pass"</formula>
    </cfRule>
    <cfRule type="cellIs" dxfId="102" priority="106" stopIfTrue="1" operator="equal">
      <formula>"Fail"</formula>
    </cfRule>
  </conditionalFormatting>
  <conditionalFormatting sqref="D47:H47 D48:D49">
    <cfRule type="cellIs" dxfId="101" priority="103" stopIfTrue="1" operator="equal">
      <formula>"Pass"</formula>
    </cfRule>
    <cfRule type="cellIs" dxfId="100" priority="104" stopIfTrue="1" operator="equal">
      <formula>"Fail"</formula>
    </cfRule>
  </conditionalFormatting>
  <conditionalFormatting sqref="I50:J50">
    <cfRule type="cellIs" dxfId="99" priority="102" stopIfTrue="1" operator="lessThan">
      <formula>0</formula>
    </cfRule>
  </conditionalFormatting>
  <conditionalFormatting sqref="I50:J50">
    <cfRule type="cellIs" dxfId="98" priority="100" stopIfTrue="1" operator="equal">
      <formula>"Pass"</formula>
    </cfRule>
    <cfRule type="cellIs" dxfId="97" priority="101" stopIfTrue="1" operator="equal">
      <formula>"Fail"</formula>
    </cfRule>
  </conditionalFormatting>
  <conditionalFormatting sqref="D71:J71 D66:H70">
    <cfRule type="cellIs" dxfId="96" priority="98" stopIfTrue="1" operator="equal">
      <formula>"Pass"</formula>
    </cfRule>
    <cfRule type="cellIs" dxfId="95" priority="99" stopIfTrue="1" operator="equal">
      <formula>"Fail"</formula>
    </cfRule>
  </conditionalFormatting>
  <conditionalFormatting sqref="D17:J19">
    <cfRule type="cellIs" dxfId="94" priority="97" stopIfTrue="1" operator="lessThan">
      <formula>0</formula>
    </cfRule>
  </conditionalFormatting>
  <conditionalFormatting sqref="D17:J19">
    <cfRule type="cellIs" dxfId="93" priority="95" stopIfTrue="1" operator="equal">
      <formula>"Pass"</formula>
    </cfRule>
    <cfRule type="cellIs" dxfId="92" priority="96" stopIfTrue="1" operator="equal">
      <formula>"Fail"</formula>
    </cfRule>
  </conditionalFormatting>
  <conditionalFormatting sqref="D23:J26">
    <cfRule type="cellIs" dxfId="91" priority="94" stopIfTrue="1" operator="lessThan">
      <formula>0</formula>
    </cfRule>
  </conditionalFormatting>
  <conditionalFormatting sqref="D23:J26">
    <cfRule type="cellIs" dxfId="90" priority="92" stopIfTrue="1" operator="equal">
      <formula>"Pass"</formula>
    </cfRule>
    <cfRule type="cellIs" dxfId="89" priority="93" stopIfTrue="1" operator="equal">
      <formula>"Fail"</formula>
    </cfRule>
  </conditionalFormatting>
  <conditionalFormatting sqref="D28:J33 D35:J35">
    <cfRule type="cellIs" dxfId="88" priority="91" stopIfTrue="1" operator="lessThan">
      <formula>0</formula>
    </cfRule>
  </conditionalFormatting>
  <conditionalFormatting sqref="D28:J35">
    <cfRule type="cellIs" dxfId="87" priority="89" stopIfTrue="1" operator="equal">
      <formula>"Pass"</formula>
    </cfRule>
    <cfRule type="cellIs" dxfId="86" priority="90" stopIfTrue="1" operator="equal">
      <formula>"Fail"</formula>
    </cfRule>
  </conditionalFormatting>
  <conditionalFormatting sqref="D38:J38">
    <cfRule type="cellIs" dxfId="85" priority="87" stopIfTrue="1" operator="equal">
      <formula>"Pass"</formula>
    </cfRule>
    <cfRule type="cellIs" dxfId="84" priority="88" stopIfTrue="1" operator="equal">
      <formula>"Fail"</formula>
    </cfRule>
  </conditionalFormatting>
  <conditionalFormatting sqref="D4:J4 E5:J7">
    <cfRule type="cellIs" dxfId="83" priority="85" stopIfTrue="1" operator="equal">
      <formula>"Pass"</formula>
    </cfRule>
    <cfRule type="cellIs" dxfId="82" priority="86" stopIfTrue="1" operator="equal">
      <formula>"Fail"</formula>
    </cfRule>
  </conditionalFormatting>
  <conditionalFormatting sqref="D37:H37">
    <cfRule type="cellIs" dxfId="81" priority="83" stopIfTrue="1" operator="equal">
      <formula>"Pass"</formula>
    </cfRule>
    <cfRule type="cellIs" dxfId="80" priority="84" stopIfTrue="1" operator="equal">
      <formula>"Fail"</formula>
    </cfRule>
  </conditionalFormatting>
  <conditionalFormatting sqref="D51:M51">
    <cfRule type="cellIs" dxfId="79" priority="81" stopIfTrue="1" operator="equal">
      <formula>"Pass"</formula>
    </cfRule>
    <cfRule type="cellIs" dxfId="78" priority="82" stopIfTrue="1" operator="equal">
      <formula>"Fail"</formula>
    </cfRule>
  </conditionalFormatting>
  <conditionalFormatting sqref="D50:H50">
    <cfRule type="cellIs" dxfId="77" priority="80" stopIfTrue="1" operator="lessThan">
      <formula>0</formula>
    </cfRule>
  </conditionalFormatting>
  <conditionalFormatting sqref="D50:H50">
    <cfRule type="cellIs" dxfId="76" priority="78" stopIfTrue="1" operator="equal">
      <formula>"Pass"</formula>
    </cfRule>
    <cfRule type="cellIs" dxfId="75" priority="79" stopIfTrue="1" operator="equal">
      <formula>"Fail"</formula>
    </cfRule>
  </conditionalFormatting>
  <conditionalFormatting sqref="D27:J27">
    <cfRule type="cellIs" dxfId="74" priority="76" stopIfTrue="1" operator="equal">
      <formula>"Pass"</formula>
    </cfRule>
    <cfRule type="cellIs" dxfId="73" priority="77" stopIfTrue="1" operator="equal">
      <formula>"Fail"</formula>
    </cfRule>
  </conditionalFormatting>
  <conditionalFormatting sqref="D66:H66">
    <cfRule type="cellIs" dxfId="72" priority="73" stopIfTrue="1" operator="equal">
      <formula>"Pass"</formula>
    </cfRule>
    <cfRule type="cellIs" dxfId="71" priority="74" stopIfTrue="1" operator="equal">
      <formula>"Fail"</formula>
    </cfRule>
  </conditionalFormatting>
  <conditionalFormatting sqref="D66:H66">
    <cfRule type="cellIs" dxfId="70" priority="75" stopIfTrue="1" operator="lessThan">
      <formula>0</formula>
    </cfRule>
  </conditionalFormatting>
  <conditionalFormatting sqref="J12">
    <cfRule type="cellIs" dxfId="69" priority="67" stopIfTrue="1" operator="equal">
      <formula>"Pass"</formula>
    </cfRule>
    <cfRule type="cellIs" dxfId="68" priority="68" stopIfTrue="1" operator="equal">
      <formula>"Fail"</formula>
    </cfRule>
  </conditionalFormatting>
  <conditionalFormatting sqref="J11:J12">
    <cfRule type="cellIs" dxfId="67" priority="70" stopIfTrue="1" operator="equal">
      <formula>"Pass"</formula>
    </cfRule>
    <cfRule type="cellIs" dxfId="66" priority="71" stopIfTrue="1" operator="equal">
      <formula>"Fail"</formula>
    </cfRule>
  </conditionalFormatting>
  <conditionalFormatting sqref="J11:J12">
    <cfRule type="cellIs" dxfId="65" priority="72" stopIfTrue="1" operator="lessThan">
      <formula>0</formula>
    </cfRule>
  </conditionalFormatting>
  <conditionalFormatting sqref="J12">
    <cfRule type="cellIs" dxfId="64" priority="69" stopIfTrue="1" operator="lessThan">
      <formula>0</formula>
    </cfRule>
  </conditionalFormatting>
  <conditionalFormatting sqref="J74">
    <cfRule type="cellIs" dxfId="63" priority="64" stopIfTrue="1" operator="equal">
      <formula>"Pass"</formula>
    </cfRule>
    <cfRule type="cellIs" dxfId="62" priority="65" stopIfTrue="1" operator="equal">
      <formula>"Fail"</formula>
    </cfRule>
  </conditionalFormatting>
  <conditionalFormatting sqref="J74">
    <cfRule type="cellIs" dxfId="61" priority="66" stopIfTrue="1" operator="lessThan">
      <formula>0</formula>
    </cfRule>
  </conditionalFormatting>
  <conditionalFormatting sqref="I5:I7">
    <cfRule type="cellIs" dxfId="60" priority="62" stopIfTrue="1" operator="equal">
      <formula>"Pass"</formula>
    </cfRule>
    <cfRule type="cellIs" dxfId="59" priority="63" stopIfTrue="1" operator="equal">
      <formula>"Fail"</formula>
    </cfRule>
  </conditionalFormatting>
  <conditionalFormatting sqref="I12">
    <cfRule type="cellIs" dxfId="58" priority="56" stopIfTrue="1" operator="equal">
      <formula>"Pass"</formula>
    </cfRule>
    <cfRule type="cellIs" dxfId="57" priority="57" stopIfTrue="1" operator="equal">
      <formula>"Fail"</formula>
    </cfRule>
  </conditionalFormatting>
  <conditionalFormatting sqref="I11:I12">
    <cfRule type="cellIs" dxfId="56" priority="59" stopIfTrue="1" operator="equal">
      <formula>"Pass"</formula>
    </cfRule>
    <cfRule type="cellIs" dxfId="55" priority="60" stopIfTrue="1" operator="equal">
      <formula>"Fail"</formula>
    </cfRule>
  </conditionalFormatting>
  <conditionalFormatting sqref="I11:I12">
    <cfRule type="cellIs" dxfId="54" priority="61" stopIfTrue="1" operator="lessThan">
      <formula>0</formula>
    </cfRule>
  </conditionalFormatting>
  <conditionalFormatting sqref="I12">
    <cfRule type="cellIs" dxfId="53" priority="58" stopIfTrue="1" operator="lessThan">
      <formula>0</formula>
    </cfRule>
  </conditionalFormatting>
  <conditionalFormatting sqref="D75:J76">
    <cfRule type="cellIs" dxfId="52" priority="54" stopIfTrue="1" operator="equal">
      <formula>"Pass"</formula>
    </cfRule>
    <cfRule type="cellIs" dxfId="51" priority="55" stopIfTrue="1" operator="equal">
      <formula>"Fail"</formula>
    </cfRule>
  </conditionalFormatting>
  <conditionalFormatting sqref="D79:J80">
    <cfRule type="cellIs" dxfId="50" priority="52" stopIfTrue="1" operator="equal">
      <formula>"Pass"</formula>
    </cfRule>
    <cfRule type="cellIs" dxfId="49" priority="53" stopIfTrue="1" operator="equal">
      <formula>"Fail"</formula>
    </cfRule>
  </conditionalFormatting>
  <conditionalFormatting sqref="C2:E3">
    <cfRule type="cellIs" dxfId="48" priority="50" stopIfTrue="1" operator="equal">
      <formula>"Pass"</formula>
    </cfRule>
    <cfRule type="cellIs" dxfId="47" priority="51" stopIfTrue="1" operator="equal">
      <formula>"Fail"</formula>
    </cfRule>
  </conditionalFormatting>
  <conditionalFormatting sqref="B2:B3">
    <cfRule type="cellIs" dxfId="46" priority="48" stopIfTrue="1" operator="equal">
      <formula>"Pass"</formula>
    </cfRule>
    <cfRule type="cellIs" dxfId="45" priority="49" stopIfTrue="1" operator="equal">
      <formula>"Fail"</formula>
    </cfRule>
  </conditionalFormatting>
  <conditionalFormatting sqref="M56:M58">
    <cfRule type="cellIs" dxfId="44" priority="45" stopIfTrue="1" operator="lessThan">
      <formula>0</formula>
    </cfRule>
  </conditionalFormatting>
  <conditionalFormatting sqref="M56:M58">
    <cfRule type="cellIs" dxfId="43" priority="43" stopIfTrue="1" operator="equal">
      <formula>"Pass"</formula>
    </cfRule>
    <cfRule type="cellIs" dxfId="42" priority="44" stopIfTrue="1" operator="equal">
      <formula>"Fail"</formula>
    </cfRule>
  </conditionalFormatting>
  <conditionalFormatting sqref="M60:M62">
    <cfRule type="cellIs" dxfId="41" priority="42" stopIfTrue="1" operator="lessThan">
      <formula>0</formula>
    </cfRule>
  </conditionalFormatting>
  <conditionalFormatting sqref="M60:M62">
    <cfRule type="cellIs" dxfId="40" priority="40" stopIfTrue="1" operator="equal">
      <formula>"Pass"</formula>
    </cfRule>
    <cfRule type="cellIs" dxfId="39" priority="41" stopIfTrue="1" operator="equal">
      <formula>"Fail"</formula>
    </cfRule>
  </conditionalFormatting>
  <conditionalFormatting sqref="M56:M62">
    <cfRule type="cellIs" dxfId="38" priority="38" stopIfTrue="1" operator="equal">
      <formula>"Pass"</formula>
    </cfRule>
    <cfRule type="cellIs" dxfId="37" priority="39" stopIfTrue="1" operator="equal">
      <formula>"Fail"</formula>
    </cfRule>
  </conditionalFormatting>
  <conditionalFormatting sqref="D12">
    <cfRule type="cellIs" dxfId="36" priority="35" stopIfTrue="1" operator="equal">
      <formula>"Pass"</formula>
    </cfRule>
    <cfRule type="cellIs" dxfId="35" priority="36" stopIfTrue="1" operator="equal">
      <formula>"Fail"</formula>
    </cfRule>
  </conditionalFormatting>
  <conditionalFormatting sqref="D12">
    <cfRule type="cellIs" dxfId="34" priority="37" stopIfTrue="1" operator="lessThan">
      <formula>0</formula>
    </cfRule>
  </conditionalFormatting>
  <conditionalFormatting sqref="B8">
    <cfRule type="cellIs" dxfId="33" priority="33" stopIfTrue="1" operator="equal">
      <formula>"Pass"</formula>
    </cfRule>
    <cfRule type="cellIs" dxfId="32" priority="34" stopIfTrue="1" operator="equal">
      <formula>"Fail"</formula>
    </cfRule>
  </conditionalFormatting>
  <conditionalFormatting sqref="D8">
    <cfRule type="cellIs" dxfId="31" priority="30" stopIfTrue="1" operator="equal">
      <formula>"Pass"</formula>
    </cfRule>
    <cfRule type="cellIs" dxfId="30" priority="31" stopIfTrue="1" operator="equal">
      <formula>"Fail"</formula>
    </cfRule>
  </conditionalFormatting>
  <conditionalFormatting sqref="D8">
    <cfRule type="cellIs" dxfId="29" priority="32" stopIfTrue="1" operator="lessThan">
      <formula>0</formula>
    </cfRule>
  </conditionalFormatting>
  <conditionalFormatting sqref="C8">
    <cfRule type="cellIs" dxfId="28" priority="27" stopIfTrue="1" operator="equal">
      <formula>"Pass"</formula>
    </cfRule>
    <cfRule type="cellIs" dxfId="27" priority="28" stopIfTrue="1" operator="equal">
      <formula>"Fail"</formula>
    </cfRule>
  </conditionalFormatting>
  <conditionalFormatting sqref="C8">
    <cfRule type="cellIs" dxfId="26" priority="29" stopIfTrue="1" operator="lessThan">
      <formula>0</formula>
    </cfRule>
  </conditionalFormatting>
  <conditionalFormatting sqref="A9 E9:N9">
    <cfRule type="cellIs" dxfId="25" priority="25" stopIfTrue="1" operator="equal">
      <formula>"Pass"</formula>
    </cfRule>
    <cfRule type="cellIs" dxfId="24" priority="26" stopIfTrue="1" operator="equal">
      <formula>"Fail"</formula>
    </cfRule>
  </conditionalFormatting>
  <conditionalFormatting sqref="B9">
    <cfRule type="cellIs" dxfId="23" priority="23" stopIfTrue="1" operator="equal">
      <formula>"Pass"</formula>
    </cfRule>
    <cfRule type="cellIs" dxfId="22" priority="24" stopIfTrue="1" operator="equal">
      <formula>"Fail"</formula>
    </cfRule>
  </conditionalFormatting>
  <conditionalFormatting sqref="D9">
    <cfRule type="cellIs" dxfId="21" priority="20" stopIfTrue="1" operator="equal">
      <formula>"Pass"</formula>
    </cfRule>
    <cfRule type="cellIs" dxfId="20" priority="21" stopIfTrue="1" operator="equal">
      <formula>"Fail"</formula>
    </cfRule>
  </conditionalFormatting>
  <conditionalFormatting sqref="D9">
    <cfRule type="cellIs" dxfId="19" priority="22" stopIfTrue="1" operator="lessThan">
      <formula>0</formula>
    </cfRule>
  </conditionalFormatting>
  <conditionalFormatting sqref="C9">
    <cfRule type="cellIs" dxfId="18" priority="17" stopIfTrue="1" operator="equal">
      <formula>"Pass"</formula>
    </cfRule>
    <cfRule type="cellIs" dxfId="17" priority="18" stopIfTrue="1" operator="equal">
      <formula>"Fail"</formula>
    </cfRule>
  </conditionalFormatting>
  <conditionalFormatting sqref="C9">
    <cfRule type="cellIs" dxfId="16" priority="19" stopIfTrue="1" operator="lessThan">
      <formula>0</formula>
    </cfRule>
  </conditionalFormatting>
  <conditionalFormatting sqref="N44 A44:B44">
    <cfRule type="cellIs" dxfId="15" priority="15" stopIfTrue="1" operator="equal">
      <formula>"Pass"</formula>
    </cfRule>
    <cfRule type="cellIs" dxfId="14" priority="16" stopIfTrue="1" operator="equal">
      <formula>"Fail"</formula>
    </cfRule>
  </conditionalFormatting>
  <conditionalFormatting sqref="N44">
    <cfRule type="cellIs" dxfId="13" priority="13" stopIfTrue="1" operator="equal">
      <formula>"Pass"</formula>
    </cfRule>
    <cfRule type="cellIs" dxfId="12" priority="14" stopIfTrue="1" operator="equal">
      <formula>"Fail"</formula>
    </cfRule>
  </conditionalFormatting>
  <conditionalFormatting sqref="K44:M44">
    <cfRule type="cellIs" dxfId="11" priority="12" stopIfTrue="1" operator="lessThan">
      <formula>0</formula>
    </cfRule>
  </conditionalFormatting>
  <conditionalFormatting sqref="K44:M44">
    <cfRule type="cellIs" dxfId="10" priority="10" stopIfTrue="1" operator="equal">
      <formula>"Pass"</formula>
    </cfRule>
    <cfRule type="cellIs" dxfId="9" priority="11" stopIfTrue="1" operator="equal">
      <formula>"Fail"</formula>
    </cfRule>
  </conditionalFormatting>
  <conditionalFormatting sqref="D44:J44">
    <cfRule type="cellIs" dxfId="8" priority="9" stopIfTrue="1" operator="lessThan">
      <formula>0</formula>
    </cfRule>
  </conditionalFormatting>
  <conditionalFormatting sqref="D44:J44">
    <cfRule type="cellIs" dxfId="7" priority="7" stopIfTrue="1" operator="equal">
      <formula>"Pass"</formula>
    </cfRule>
    <cfRule type="cellIs" dxfId="6" priority="8" stopIfTrue="1" operator="equal">
      <formula>"Fail"</formula>
    </cfRule>
  </conditionalFormatting>
  <conditionalFormatting sqref="B4">
    <cfRule type="cellIs" dxfId="5" priority="5" stopIfTrue="1" operator="equal">
      <formula>"Pass"</formula>
    </cfRule>
    <cfRule type="cellIs" dxfId="4" priority="6" stopIfTrue="1" operator="equal">
      <formula>"Fail"</formula>
    </cfRule>
  </conditionalFormatting>
  <conditionalFormatting sqref="C16">
    <cfRule type="cellIs" dxfId="3" priority="3" stopIfTrue="1" operator="equal">
      <formula>"Pass"</formula>
    </cfRule>
    <cfRule type="cellIs" dxfId="2" priority="4" stopIfTrue="1" operator="equal">
      <formula>"Fail"</formula>
    </cfRule>
  </conditionalFormatting>
  <conditionalFormatting sqref="M72">
    <cfRule type="cellIs" dxfId="1" priority="1" stopIfTrue="1" operator="equal">
      <formula>"Pass"</formula>
    </cfRule>
    <cfRule type="cellIs" dxfId="0" priority="2" stopIfTrue="1" operator="equal">
      <formula>"Fail"</formula>
    </cfRule>
  </conditionalFormatting>
  <dataValidations count="4">
    <dataValidation type="list" allowBlank="1" showInputMessage="1" showErrorMessage="1" sqref="D12" xr:uid="{69F412E0-C587-4E2A-84CA-178E879E90B4}">
      <formula1>"1,1000,10000,100000,1000000"</formula1>
    </dataValidation>
    <dataValidation type="list" allowBlank="1" showInputMessage="1" showErrorMessage="1" sqref="D8" xr:uid="{CC8FD625-6957-477C-A625-2C40CA93652F}">
      <formula1>"Yes,No"</formula1>
    </dataValidation>
    <dataValidation type="list" allowBlank="1" showInputMessage="1" showErrorMessage="1" sqref="D9" xr:uid="{C263EB42-74EE-477B-B9D9-A0F439E9282B}">
      <formula1>"Yes,No,Not Applicable"</formula1>
    </dataValidation>
    <dataValidation type="list" allowBlank="1" showInputMessage="1" showErrorMessage="1" sqref="D10" xr:uid="{C20493E8-DFCB-4847-84CE-568D3DA31791}">
      <formula1>"350000, Not Applicable"</formula1>
    </dataValidation>
  </dataValidations>
  <pageMargins left="0.39370078740157483" right="0.39370078740157483" top="0.39370078740157483" bottom="0.39370078740157483" header="0.19685039370078741" footer="0.19685039370078741"/>
  <pageSetup paperSize="9" scale="52" fitToHeight="10" orientation="landscape" verticalDpi="0" r:id="rId1"/>
  <headerFooter>
    <oddFooter>&amp;LOperational risk: Regulatory Capital BA Return&amp;R&amp;P of &amp;N</oddFooter>
  </headerFooter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 400</vt:lpstr>
      <vt:lpstr>'BA 400'!Print_Area</vt:lpstr>
      <vt:lpstr>'BA 400'!Print_Titles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Magagula, T. (Tibusiso) (Group Risk)</dc:creator>
  <cp:lastModifiedBy>Dries Smal</cp:lastModifiedBy>
  <cp:lastPrinted>2021-09-09T16:08:51Z</cp:lastPrinted>
  <dcterms:created xsi:type="dcterms:W3CDTF">2021-09-09T14:35:32Z</dcterms:created>
  <dcterms:modified xsi:type="dcterms:W3CDTF">2022-06-09T08:35:27Z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etDate">
    <vt:lpwstr>2021-09-09T14:35:33Z</vt:lpwstr>
  </property>
  <property fmtid="{D5CDD505-2E9C-101B-9397-08002B2CF9AE}" pid="4" name="MSIP_Label_fb3ff2d6-7c2c-441b-97b8-52c111077da7_Method">
    <vt:lpwstr>Standard</vt:lpwstr>
  </property>
  <property fmtid="{D5CDD505-2E9C-101B-9397-08002B2CF9AE}" pid="5" name="MSIP_Label_fb3ff2d6-7c2c-441b-97b8-52c111077da7_Name">
    <vt:lpwstr>fb3ff2d6-7c2c-441b-97b8-52c111077da7</vt:lpwstr>
  </property>
  <property fmtid="{D5CDD505-2E9C-101B-9397-08002B2CF9AE}" pid="6" name="MSIP_Label_fb3ff2d6-7c2c-441b-97b8-52c111077da7_SiteId">
    <vt:lpwstr>0b1d23d8-10d1-4093-8cb7-fd0bb32f81e1</vt:lpwstr>
  </property>
  <property fmtid="{D5CDD505-2E9C-101B-9397-08002B2CF9AE}" pid="7" name="MSIP_Label_fb3ff2d6-7c2c-441b-97b8-52c111077da7_ActionId">
    <vt:lpwstr>43d75d29-9783-416d-a78c-b054a1ff9b34</vt:lpwstr>
  </property>
  <property fmtid="{D5CDD505-2E9C-101B-9397-08002B2CF9AE}" pid="8" name="MSIP_Label_fb3ff2d6-7c2c-441b-97b8-52c111077da7_ContentBits">
    <vt:lpwstr>0</vt:lpwstr>
  </property>
  <property fmtid="{D5CDD505-2E9C-101B-9397-08002B2CF9AE}" pid="9" name="MSIP_Label_70c52299-74de-4dfd-b117-c9c408edfa50_Enabled">
    <vt:lpwstr>true</vt:lpwstr>
  </property>
  <property fmtid="{D5CDD505-2E9C-101B-9397-08002B2CF9AE}" pid="10" name="MSIP_Label_70c52299-74de-4dfd-b117-c9c408edfa50_SetDate">
    <vt:lpwstr>2021-10-15T11:44:09Z</vt:lpwstr>
  </property>
  <property fmtid="{D5CDD505-2E9C-101B-9397-08002B2CF9AE}" pid="11" name="MSIP_Label_70c52299-74de-4dfd-b117-c9c408edfa50_Method">
    <vt:lpwstr>Standard</vt:lpwstr>
  </property>
  <property fmtid="{D5CDD505-2E9C-101B-9397-08002B2CF9AE}" pid="12" name="MSIP_Label_70c52299-74de-4dfd-b117-c9c408edfa50_Name">
    <vt:lpwstr>Restricted</vt:lpwstr>
  </property>
  <property fmtid="{D5CDD505-2E9C-101B-9397-08002B2CF9AE}" pid="13" name="MSIP_Label_70c52299-74de-4dfd-b117-c9c408edfa50_SiteId">
    <vt:lpwstr>853cbaab-a620-4178-8933-88d76414184a</vt:lpwstr>
  </property>
  <property fmtid="{D5CDD505-2E9C-101B-9397-08002B2CF9AE}" pid="14" name="MSIP_Label_70c52299-74de-4dfd-b117-c9c408edfa50_ActionId">
    <vt:lpwstr>7b2cab59-224f-4948-bc0b-d65b631022a0</vt:lpwstr>
  </property>
  <property fmtid="{D5CDD505-2E9C-101B-9397-08002B2CF9AE}" pid="15" name="MSIP_Label_70c52299-74de-4dfd-b117-c9c408edfa50_ContentBits">
    <vt:lpwstr>0</vt:lpwstr>
  </property>
</Properties>
</file>